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2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16.xml" ContentType="application/vnd.openxmlformats-officedocument.spreadsheetml.revisionLo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50" windowHeight="11640"/>
  </bookViews>
  <sheets>
    <sheet name="POTRAŽIVANJA 2020. PULA " sheetId="1" r:id="rId1"/>
  </sheets>
  <definedNames>
    <definedName name="_xlnm._FilterDatabase" localSheetId="0" hidden="1">'POTRAŽIVANJA 2020. PULA '!$A$2:$W$2</definedName>
    <definedName name="_xlnm.Print_Area" localSheetId="0">'POTRAŽIVANJA 2020. PULA '!$A$1:$X$52</definedName>
    <definedName name="_xlnm.Print_Titles" localSheetId="0">'POTRAŽIVANJA 2020. PULA '!$2:$3</definedName>
    <definedName name="Z_0104055D_4F86_418B_A092_43076E5DAB68_.wvu.FilterData" localSheetId="0" hidden="1">'POTRAŽIVANJA 2020. PULA '!$A$2:$W$2</definedName>
    <definedName name="Z_0A3FC11F_8BD3_4FB4_AED3_E6B3C53DF8B6_.wvu.FilterData" localSheetId="0" hidden="1">'POTRAŽIVANJA 2020. PULA '!$A$2:$W$2</definedName>
    <definedName name="Z_1285AB19_9522_4B0A_BEC0_749BF7FEE887_.wvu.Cols" localSheetId="0" hidden="1">'POTRAŽIVANJA 2020. PULA '!$X:$X</definedName>
    <definedName name="Z_1285AB19_9522_4B0A_BEC0_749BF7FEE887_.wvu.FilterData" localSheetId="0" hidden="1">'POTRAŽIVANJA 2020. PULA '!$A$2:$W$2</definedName>
    <definedName name="Z_1285AB19_9522_4B0A_BEC0_749BF7FEE887_.wvu.PrintArea" localSheetId="0" hidden="1">'POTRAŽIVANJA 2020. PULA '!$A$1:$X$52</definedName>
    <definedName name="Z_1285AB19_9522_4B0A_BEC0_749BF7FEE887_.wvu.PrintTitles" localSheetId="0" hidden="1">'POTRAŽIVANJA 2020. PULA '!$2:$3</definedName>
    <definedName name="Z_1B3DDF7B_7923_47F5_85DB_C05ECFBA6066_.wvu.FilterData" localSheetId="0" hidden="1">'POTRAŽIVANJA 2020. PULA '!$A$2:$W$2</definedName>
    <definedName name="Z_262564CE_2687_4613_ABE5_2D314BEBF817_.wvu.FilterData" localSheetId="0" hidden="1">'POTRAŽIVANJA 2020. PULA '!$A$2:$W$2</definedName>
    <definedName name="Z_287BB99E_4494_4C80_9BF5_A16ED9F406F9_.wvu.Cols" localSheetId="0" hidden="1">'POTRAŽIVANJA 2020. PULA '!$D:$K,'POTRAŽIVANJA 2020. PULA '!$Q:$Q,'POTRAŽIVANJA 2020. PULA '!$X:$X</definedName>
    <definedName name="Z_287BB99E_4494_4C80_9BF5_A16ED9F406F9_.wvu.FilterData" localSheetId="0" hidden="1">'POTRAŽIVANJA 2020. PULA '!$A$2:$W$2</definedName>
    <definedName name="Z_287BB99E_4494_4C80_9BF5_A16ED9F406F9_.wvu.PrintArea" localSheetId="0" hidden="1">'POTRAŽIVANJA 2020. PULA '!$A$1:$W$52</definedName>
    <definedName name="Z_287BB99E_4494_4C80_9BF5_A16ED9F406F9_.wvu.PrintTitles" localSheetId="0" hidden="1">'POTRAŽIVANJA 2020. PULA '!$2:$3</definedName>
    <definedName name="Z_39DE3D2F_41C7_4D13_A564_D1486C4C4E67_.wvu.FilterData" localSheetId="0" hidden="1">'POTRAŽIVANJA 2020. PULA '!$A$2:$W$2</definedName>
    <definedName name="Z_4C3A2165_2CD6_4DA0_A63C_CCAADA037260_.wvu.FilterData" localSheetId="0" hidden="1">'POTRAŽIVANJA 2020. PULA '!$A$2:$W$2</definedName>
    <definedName name="Z_4F436F5E_397A_47A2_806E_F3484E3158AB_.wvu.FilterData" localSheetId="0" hidden="1">'POTRAŽIVANJA 2020. PULA '!$A$2:$W$2</definedName>
    <definedName name="Z_50DB7A3E_72DF_476A_ACEA_7F3DE80D58B9_.wvu.FilterData" localSheetId="0" hidden="1">'POTRAŽIVANJA 2020. PULA '!$A$2:$W$2</definedName>
    <definedName name="Z_57242146_31A6_40EB_88F2_E4693567316F_.wvu.FilterData" localSheetId="0" hidden="1">'POTRAŽIVANJA 2020. PULA '!$A$2:$W$2</definedName>
    <definedName name="Z_69C9F101_52CF_453D_A718_3D5CFF44C284_.wvu.FilterData" localSheetId="0" hidden="1">'POTRAŽIVANJA 2020. PULA '!$A$2:$W$2</definedName>
    <definedName name="Z_6A72E99D_97AF_4CDF_8734_D3BD6927719C_.wvu.FilterData" localSheetId="0" hidden="1">'POTRAŽIVANJA 2020. PULA '!$A$2:$W$2</definedName>
    <definedName name="Z_73FDEF46_0CD4_43F5_8459_3122D65158EC_.wvu.FilterData" localSheetId="0" hidden="1">'POTRAŽIVANJA 2020. PULA '!$A$2:$W$2</definedName>
    <definedName name="Z_7BE366AA_FB58_4738_9670_56BD3DA63951_.wvu.FilterData" localSheetId="0" hidden="1">'POTRAŽIVANJA 2020. PULA '!$A$2:$W$2</definedName>
    <definedName name="Z_802D023E_FDC7_4E6D_A65F_8F29BC86F961_.wvu.FilterData" localSheetId="0" hidden="1">'POTRAŽIVANJA 2020. PULA '!$A$2:$W$2</definedName>
    <definedName name="Z_8A729B9F_3337_4071_951E_CA86BAEE6893_.wvu.FilterData" localSheetId="0" hidden="1">'POTRAŽIVANJA 2020. PULA '!$A$2:$W$2</definedName>
    <definedName name="Z_A59F6773_5C54_49F5_8494_4E00ACC21610_.wvu.FilterData" localSheetId="0" hidden="1">'POTRAŽIVANJA 2020. PULA '!$A$2:$W$2</definedName>
    <definedName name="Z_B1D981AC_BF34_4C8C_9AD3_B7F961F3C03B_.wvu.Cols" localSheetId="0" hidden="1">'POTRAŽIVANJA 2020. PULA '!$Q:$Q,'POTRAŽIVANJA 2020. PULA '!$X:$X</definedName>
    <definedName name="Z_B1D981AC_BF34_4C8C_9AD3_B7F961F3C03B_.wvu.FilterData" localSheetId="0" hidden="1">'POTRAŽIVANJA 2020. PULA '!$A$2:$W$2</definedName>
    <definedName name="Z_B1D981AC_BF34_4C8C_9AD3_B7F961F3C03B_.wvu.PrintArea" localSheetId="0" hidden="1">'POTRAŽIVANJA 2020. PULA '!$A$1:$W$52</definedName>
    <definedName name="Z_B1D981AC_BF34_4C8C_9AD3_B7F961F3C03B_.wvu.PrintTitles" localSheetId="0" hidden="1">'POTRAŽIVANJA 2020. PULA '!$2:$3</definedName>
    <definedName name="Z_B82ACAB2_19D0_4FEC_ABD7_A6630A628455_.wvu.FilterData" localSheetId="0" hidden="1">'POTRAŽIVANJA 2020. PULA '!$A$2:$W$2</definedName>
    <definedName name="Z_B83A36CA_EEED_409E_B252_BC46AED6FE0C_.wvu.FilterData" localSheetId="0" hidden="1">'POTRAŽIVANJA 2020. PULA '!$A$2:$W$2</definedName>
    <definedName name="Z_B84FA236_DC69_46E3_BCF5_35208B536009_.wvu.FilterData" localSheetId="0" hidden="1">'POTRAŽIVANJA 2020. PULA '!$A$2:$W$2</definedName>
    <definedName name="Z_CA8981AF_FE57_4DF7_960F_295751C92B8D_.wvu.FilterData" localSheetId="0" hidden="1">'POTRAŽIVANJA 2020. PULA '!$A$2:$W$2</definedName>
    <definedName name="Z_CDC167F6_24E9_49F9_AC70_1F80DD1944A6_.wvu.FilterData" localSheetId="0" hidden="1">'POTRAŽIVANJA 2020. PULA '!$A$2:$W$2</definedName>
    <definedName name="Z_D0AAB196_C177_40A9_AA76_76AE7C874846_.wvu.FilterData" localSheetId="0" hidden="1">'POTRAŽIVANJA 2020. PULA '!$A$2:$W$2</definedName>
    <definedName name="Z_D11D6AA0_EDFE_4E07_8ADC_865141EACEB2_.wvu.Cols" localSheetId="0" hidden="1">'POTRAŽIVANJA 2020. PULA '!$D:$K,'POTRAŽIVANJA 2020. PULA '!$Q:$Q,'POTRAŽIVANJA 2020. PULA '!$X:$X</definedName>
    <definedName name="Z_D11D6AA0_EDFE_4E07_8ADC_865141EACEB2_.wvu.FilterData" localSheetId="0" hidden="1">'POTRAŽIVANJA 2020. PULA '!$A$2:$W$2</definedName>
    <definedName name="Z_D11D6AA0_EDFE_4E07_8ADC_865141EACEB2_.wvu.PrintArea" localSheetId="0" hidden="1">'POTRAŽIVANJA 2020. PULA '!$A$1:$X$52</definedName>
    <definedName name="Z_D11D6AA0_EDFE_4E07_8ADC_865141EACEB2_.wvu.PrintTitles" localSheetId="0" hidden="1">'POTRAŽIVANJA 2020. PULA '!$2:$3</definedName>
    <definedName name="Z_DBDCD138_8EC8_4724_938D_91D2D9C6CB50_.wvu.FilterData" localSheetId="0" hidden="1">'POTRAŽIVANJA 2020. PULA '!$A$2:$W$2</definedName>
    <definedName name="Z_DFAFD835_CF82_4EC8_9993_62C21F0EA5F2_.wvu.FilterData" localSheetId="0" hidden="1">'POTRAŽIVANJA 2020. PULA '!$A$2:$W$2</definedName>
    <definedName name="Z_FCC78B18_1C4A_4200_9EB7_014DEC4CEC97_.wvu.Cols" localSheetId="0" hidden="1">'POTRAŽIVANJA 2020. PULA '!$D:$K,'POTRAŽIVANJA 2020. PULA '!$Q:$Q,'POTRAŽIVANJA 2020. PULA '!$X:$X</definedName>
    <definedName name="Z_FCC78B18_1C4A_4200_9EB7_014DEC4CEC97_.wvu.FilterData" localSheetId="0" hidden="1">'POTRAŽIVANJA 2020. PULA '!$A$2:$W$2</definedName>
    <definedName name="Z_FCC78B18_1C4A_4200_9EB7_014DEC4CEC97_.wvu.PrintArea" localSheetId="0" hidden="1">'POTRAŽIVANJA 2020. PULA '!$A$1:$X$52</definedName>
    <definedName name="Z_FCC78B18_1C4A_4200_9EB7_014DEC4CEC97_.wvu.PrintTitles" localSheetId="0" hidden="1">'POTRAŽIVANJA 2020. PULA '!$2:$3</definedName>
    <definedName name="Z_FF2F6BAC_FC7E_4F0A_9D28_3171228FB4E8_.wvu.FilterData" localSheetId="0" hidden="1">'POTRAŽIVANJA 2020. PULA '!$A$2:$W$2</definedName>
    <definedName name="Z_FF88790F_B3A8_43E0_9E45_6D97494C5053_.wvu.Cols" localSheetId="0" hidden="1">'POTRAŽIVANJA 2020. PULA '!$X:$X</definedName>
    <definedName name="Z_FF88790F_B3A8_43E0_9E45_6D97494C5053_.wvu.FilterData" localSheetId="0" hidden="1">'POTRAŽIVANJA 2020. PULA '!$A$2:$W$2</definedName>
    <definedName name="Z_FF88790F_B3A8_43E0_9E45_6D97494C5053_.wvu.PrintArea" localSheetId="0" hidden="1">'POTRAŽIVANJA 2020. PULA '!$A$1:$X$52</definedName>
    <definedName name="Z_FF88790F_B3A8_43E0_9E45_6D97494C5053_.wvu.PrintTitles" localSheetId="0" hidden="1">'POTRAŽIVANJA 2020. PULA '!$2:$3</definedName>
  </definedNames>
  <calcPr calcId="125725"/>
  <customWorkbookViews>
    <customWorkbookView name="bbatelic - Personal View" guid="{D11D6AA0-EDFE-4E07-8ADC-865141EACEB2}" mergeInterval="0" personalView="1" maximized="1" xWindow="1" yWindow="1" windowWidth="1276" windowHeight="804" activeSheetId="1"/>
    <customWorkbookView name="Igor Fabris - Personal View" guid="{287BB99E-4494-4C80-9BF5-A16ED9F406F9}" mergeInterval="0" personalView="1" maximized="1" xWindow="1" yWindow="1" windowWidth="1276" windowHeight="794" activeSheetId="1"/>
    <customWorkbookView name="szmak - Osobni pogled" guid="{B1D981AC-BF34-4C8C-9AD3-B7F961F3C03B}" mergeInterval="0" personalView="1" maximized="1" xWindow="1" yWindow="1" windowWidth="1276" windowHeight="712" activeSheetId="1"/>
    <customWorkbookView name="rocnik - Personal View" guid="{1285AB19-9522-4B0A-BEC0-749BF7FEE887}" mergeInterval="0" personalView="1" maximized="1" xWindow="1" yWindow="1" windowWidth="1020" windowHeight="501" activeSheetId="1"/>
    <customWorkbookView name="mvitasovic - Personal View" guid="{FF88790F-B3A8-43E0-9E45-6D97494C5053}" mergeInterval="0" personalView="1" maximized="1" xWindow="1" yWindow="1" windowWidth="1276" windowHeight="794" activeSheetId="1" showComments="commIndAndComment"/>
    <customWorkbookView name="Katja Škopac Koroman - Personal View" guid="{FCC78B18-1C4A-4200-9EB7-014DEC4CEC97}" mergeInterval="0" personalView="1" maximized="1" xWindow="1" yWindow="1" windowWidth="1276" windowHeight="771" activeSheetId="1"/>
  </customWorkbookViews>
</workbook>
</file>

<file path=xl/calcChain.xml><?xml version="1.0" encoding="utf-8"?>
<calcChain xmlns="http://schemas.openxmlformats.org/spreadsheetml/2006/main">
  <c r="W4" i="1"/>
  <c r="W18"/>
  <c r="V37" l="1"/>
  <c r="T37"/>
  <c r="V6" l="1"/>
  <c r="S6"/>
  <c r="V4"/>
  <c r="V5"/>
  <c r="T5"/>
  <c r="S5"/>
  <c r="V45" l="1"/>
  <c r="W24"/>
  <c r="V33" l="1"/>
  <c r="T33"/>
  <c r="S33"/>
  <c r="P33" l="1"/>
  <c r="P23"/>
  <c r="P19"/>
  <c r="P6"/>
  <c r="P5"/>
  <c r="P4"/>
  <c r="R33"/>
  <c r="L51" l="1"/>
  <c r="L19"/>
  <c r="W40"/>
  <c r="M8"/>
  <c r="O8" s="1"/>
  <c r="M40"/>
  <c r="O40" s="1"/>
  <c r="W8"/>
  <c r="N9"/>
  <c r="Q9"/>
  <c r="R9"/>
  <c r="S9"/>
  <c r="T9"/>
  <c r="U9"/>
  <c r="V9"/>
  <c r="L30" l="1"/>
  <c r="L29"/>
  <c r="V10"/>
  <c r="S11"/>
  <c r="P12"/>
  <c r="O12"/>
  <c r="M12"/>
  <c r="K12"/>
  <c r="N45"/>
  <c r="L33"/>
  <c r="L23" l="1"/>
  <c r="L4"/>
  <c r="L5"/>
  <c r="L9" l="1"/>
  <c r="O30"/>
  <c r="O29"/>
  <c r="P9" l="1"/>
  <c r="M23" l="1"/>
  <c r="M19"/>
  <c r="M37" l="1"/>
  <c r="M15"/>
  <c r="M4" l="1"/>
  <c r="E51" l="1"/>
  <c r="F51"/>
  <c r="G51"/>
  <c r="H51"/>
  <c r="I51"/>
  <c r="K51"/>
  <c r="N51"/>
  <c r="P51"/>
  <c r="Q51"/>
  <c r="R51"/>
  <c r="S51"/>
  <c r="T51"/>
  <c r="U51"/>
  <c r="V51"/>
  <c r="D51"/>
  <c r="R43" l="1"/>
  <c r="E41" l="1"/>
  <c r="P43"/>
  <c r="E30" l="1"/>
  <c r="E29"/>
  <c r="J19" l="1"/>
  <c r="F37" l="1"/>
  <c r="G43" l="1"/>
  <c r="H43"/>
  <c r="I43"/>
  <c r="K43"/>
  <c r="N43"/>
  <c r="Q43"/>
  <c r="S43"/>
  <c r="T43"/>
  <c r="U43"/>
  <c r="V43"/>
  <c r="D43"/>
  <c r="E47" l="1"/>
  <c r="E46"/>
  <c r="F38"/>
  <c r="E37"/>
  <c r="E39"/>
  <c r="E43" l="1"/>
  <c r="F39"/>
  <c r="E45"/>
  <c r="E34"/>
  <c r="E24"/>
  <c r="E23"/>
  <c r="F43" l="1"/>
  <c r="D25"/>
  <c r="V22" l="1"/>
  <c r="J45" l="1"/>
  <c r="W7" l="1"/>
  <c r="R13" l="1"/>
  <c r="D48" l="1"/>
  <c r="D35"/>
  <c r="D31"/>
  <c r="D21"/>
  <c r="D16"/>
  <c r="D13"/>
  <c r="D9"/>
  <c r="S16"/>
  <c r="T16"/>
  <c r="R16"/>
  <c r="D14" l="1"/>
  <c r="D26" s="1"/>
  <c r="D36"/>
  <c r="I31"/>
  <c r="F35"/>
  <c r="G35"/>
  <c r="H35"/>
  <c r="I35"/>
  <c r="K35"/>
  <c r="P35"/>
  <c r="Q35"/>
  <c r="U35"/>
  <c r="D44" l="1"/>
  <c r="D52" s="1"/>
  <c r="N35" l="1"/>
  <c r="E35" l="1"/>
  <c r="W42"/>
  <c r="J42"/>
  <c r="M42" s="1"/>
  <c r="O42" l="1"/>
  <c r="J5" l="1"/>
  <c r="M5" s="1"/>
  <c r="O5" s="1"/>
  <c r="T35" l="1"/>
  <c r="S35"/>
  <c r="R35"/>
  <c r="W15" l="1"/>
  <c r="W33" l="1"/>
  <c r="N13" l="1"/>
  <c r="J29" l="1"/>
  <c r="J20"/>
  <c r="M20" s="1"/>
  <c r="H21" l="1"/>
  <c r="H31"/>
  <c r="J30"/>
  <c r="F31"/>
  <c r="E13"/>
  <c r="W41" l="1"/>
  <c r="J41"/>
  <c r="M41" s="1"/>
  <c r="J10" l="1"/>
  <c r="L10" s="1"/>
  <c r="J38"/>
  <c r="M38" s="1"/>
  <c r="J37" l="1"/>
  <c r="J47"/>
  <c r="M47" s="1"/>
  <c r="M45" l="1"/>
  <c r="J34"/>
  <c r="M34" s="1"/>
  <c r="J33"/>
  <c r="J32"/>
  <c r="J24"/>
  <c r="M24" s="1"/>
  <c r="O24" s="1"/>
  <c r="J23"/>
  <c r="J11"/>
  <c r="L11" l="1"/>
  <c r="M11" s="1"/>
  <c r="O11" s="1"/>
  <c r="L32"/>
  <c r="J35"/>
  <c r="M33"/>
  <c r="O33" s="1"/>
  <c r="O23"/>
  <c r="J17"/>
  <c r="J15"/>
  <c r="O15" s="1"/>
  <c r="J12"/>
  <c r="L12" s="1"/>
  <c r="J6"/>
  <c r="M6" s="1"/>
  <c r="J7"/>
  <c r="M7" s="1"/>
  <c r="J4"/>
  <c r="O6" l="1"/>
  <c r="M9"/>
  <c r="X33"/>
  <c r="M17"/>
  <c r="O17" s="1"/>
  <c r="O4"/>
  <c r="M32"/>
  <c r="M35" s="1"/>
  <c r="L35"/>
  <c r="W10" l="1"/>
  <c r="F21" l="1"/>
  <c r="J18"/>
  <c r="E31"/>
  <c r="M18" l="1"/>
  <c r="O18" s="1"/>
  <c r="L21"/>
  <c r="W50"/>
  <c r="J50"/>
  <c r="M50" s="1"/>
  <c r="M51" s="1"/>
  <c r="W49"/>
  <c r="W51" s="1"/>
  <c r="J49"/>
  <c r="U48"/>
  <c r="S48"/>
  <c r="I48"/>
  <c r="H48"/>
  <c r="G48"/>
  <c r="F48"/>
  <c r="V48"/>
  <c r="W46"/>
  <c r="P48"/>
  <c r="J46"/>
  <c r="M46" s="1"/>
  <c r="O46" s="1"/>
  <c r="T48"/>
  <c r="R48"/>
  <c r="Q48"/>
  <c r="K48"/>
  <c r="E48"/>
  <c r="W39"/>
  <c r="J39"/>
  <c r="J43" s="1"/>
  <c r="W38"/>
  <c r="W37"/>
  <c r="V32"/>
  <c r="V35" s="1"/>
  <c r="V31"/>
  <c r="U31"/>
  <c r="U36" s="1"/>
  <c r="S31"/>
  <c r="S36" s="1"/>
  <c r="R31"/>
  <c r="R36" s="1"/>
  <c r="Q31"/>
  <c r="Q36" s="1"/>
  <c r="P31"/>
  <c r="P36" s="1"/>
  <c r="K31"/>
  <c r="G31"/>
  <c r="W30"/>
  <c r="T31"/>
  <c r="T36" s="1"/>
  <c r="W29"/>
  <c r="W28"/>
  <c r="J28"/>
  <c r="L28" s="1"/>
  <c r="M28" s="1"/>
  <c r="O28" s="1"/>
  <c r="W27"/>
  <c r="J27"/>
  <c r="N27" s="1"/>
  <c r="M27" s="1"/>
  <c r="U25"/>
  <c r="S25"/>
  <c r="R25"/>
  <c r="Q25"/>
  <c r="P25"/>
  <c r="N25"/>
  <c r="K25"/>
  <c r="I25"/>
  <c r="H25"/>
  <c r="G25"/>
  <c r="F25"/>
  <c r="V25"/>
  <c r="E25"/>
  <c r="W22"/>
  <c r="J22"/>
  <c r="L22" s="1"/>
  <c r="M22" s="1"/>
  <c r="U21"/>
  <c r="S21"/>
  <c r="P21"/>
  <c r="N21"/>
  <c r="I21"/>
  <c r="G21"/>
  <c r="W20"/>
  <c r="R21"/>
  <c r="V21"/>
  <c r="W17"/>
  <c r="K21"/>
  <c r="V16"/>
  <c r="U16"/>
  <c r="Q16"/>
  <c r="P16"/>
  <c r="N16"/>
  <c r="K16"/>
  <c r="I16"/>
  <c r="H16"/>
  <c r="G16"/>
  <c r="F16"/>
  <c r="W16"/>
  <c r="E16"/>
  <c r="V13"/>
  <c r="U13"/>
  <c r="T13"/>
  <c r="S13"/>
  <c r="Q13"/>
  <c r="P13"/>
  <c r="K13"/>
  <c r="I13"/>
  <c r="H13"/>
  <c r="G13"/>
  <c r="F13"/>
  <c r="W12"/>
  <c r="W11"/>
  <c r="K9"/>
  <c r="I9"/>
  <c r="H9"/>
  <c r="G9"/>
  <c r="F9"/>
  <c r="W6"/>
  <c r="V36" l="1"/>
  <c r="J51"/>
  <c r="R14"/>
  <c r="R26" s="1"/>
  <c r="R44" s="1"/>
  <c r="W43"/>
  <c r="F14"/>
  <c r="F26" s="1"/>
  <c r="O25"/>
  <c r="L43"/>
  <c r="I36"/>
  <c r="O47"/>
  <c r="N14"/>
  <c r="O34"/>
  <c r="S14"/>
  <c r="S26" s="1"/>
  <c r="S44" s="1"/>
  <c r="U14"/>
  <c r="U26" s="1"/>
  <c r="U44" s="1"/>
  <c r="H14"/>
  <c r="H26" s="1"/>
  <c r="F36"/>
  <c r="K36"/>
  <c r="I14"/>
  <c r="I26" s="1"/>
  <c r="G14"/>
  <c r="G26" s="1"/>
  <c r="P14"/>
  <c r="P26" s="1"/>
  <c r="P44" s="1"/>
  <c r="G36"/>
  <c r="W31"/>
  <c r="E9"/>
  <c r="X10"/>
  <c r="K14"/>
  <c r="K26" s="1"/>
  <c r="T21"/>
  <c r="W13"/>
  <c r="E21"/>
  <c r="E14" s="1"/>
  <c r="Q21"/>
  <c r="Q14" s="1"/>
  <c r="Q26" s="1"/>
  <c r="Q44" s="1"/>
  <c r="O22"/>
  <c r="W23"/>
  <c r="W25" s="1"/>
  <c r="X27"/>
  <c r="W34"/>
  <c r="X34" s="1"/>
  <c r="W47"/>
  <c r="L13"/>
  <c r="J13"/>
  <c r="X12"/>
  <c r="X28"/>
  <c r="J9"/>
  <c r="V14"/>
  <c r="V26" s="1"/>
  <c r="V44" s="1"/>
  <c r="H36"/>
  <c r="X24"/>
  <c r="T25"/>
  <c r="W45"/>
  <c r="W19"/>
  <c r="W21" s="1"/>
  <c r="W32"/>
  <c r="W35" l="1"/>
  <c r="W36" s="1"/>
  <c r="R52"/>
  <c r="M39"/>
  <c r="M43" s="1"/>
  <c r="O13"/>
  <c r="X30"/>
  <c r="I44"/>
  <c r="I52" s="1"/>
  <c r="X50"/>
  <c r="O51"/>
  <c r="X38"/>
  <c r="F44"/>
  <c r="F52" s="1"/>
  <c r="O38"/>
  <c r="X47"/>
  <c r="X11"/>
  <c r="H44"/>
  <c r="H52" s="1"/>
  <c r="W48"/>
  <c r="X46"/>
  <c r="S52"/>
  <c r="P52"/>
  <c r="T14"/>
  <c r="T26" s="1"/>
  <c r="T44" s="1"/>
  <c r="E26"/>
  <c r="G44"/>
  <c r="G52" s="1"/>
  <c r="X22"/>
  <c r="W14"/>
  <c r="W26" s="1"/>
  <c r="J48"/>
  <c r="K44"/>
  <c r="K52" s="1"/>
  <c r="Q52"/>
  <c r="U52"/>
  <c r="J21"/>
  <c r="E36"/>
  <c r="L31"/>
  <c r="L36" s="1"/>
  <c r="N31"/>
  <c r="N36" s="1"/>
  <c r="J25"/>
  <c r="J16"/>
  <c r="J31"/>
  <c r="O31" l="1"/>
  <c r="N26"/>
  <c r="N44" s="1"/>
  <c r="M13"/>
  <c r="E44"/>
  <c r="E52" s="1"/>
  <c r="T52"/>
  <c r="N48"/>
  <c r="X49"/>
  <c r="X51" s="1"/>
  <c r="L16"/>
  <c r="O16"/>
  <c r="M31"/>
  <c r="M36" s="1"/>
  <c r="J36"/>
  <c r="O32"/>
  <c r="O35" s="1"/>
  <c r="J14"/>
  <c r="J26" s="1"/>
  <c r="O36" l="1"/>
  <c r="N52"/>
  <c r="O37"/>
  <c r="J44"/>
  <c r="J52" s="1"/>
  <c r="X32"/>
  <c r="X29"/>
  <c r="X31" s="1"/>
  <c r="M16"/>
  <c r="X13"/>
  <c r="X37" l="1"/>
  <c r="X17"/>
  <c r="X23"/>
  <c r="X15"/>
  <c r="X16" s="1"/>
  <c r="X35" l="1"/>
  <c r="X36" s="1"/>
  <c r="L48" l="1"/>
  <c r="M48"/>
  <c r="O45" l="1"/>
  <c r="O48" s="1"/>
  <c r="X45" l="1"/>
  <c r="X48" s="1"/>
  <c r="X4"/>
  <c r="X6"/>
  <c r="X18" l="1"/>
  <c r="O19"/>
  <c r="O21" s="1"/>
  <c r="X19"/>
  <c r="M21"/>
  <c r="X20"/>
  <c r="X21" l="1"/>
  <c r="M25"/>
  <c r="M14" s="1"/>
  <c r="M26" s="1"/>
  <c r="M44" s="1"/>
  <c r="X25" l="1"/>
  <c r="X14" s="1"/>
  <c r="X26" s="1"/>
  <c r="L25"/>
  <c r="O14"/>
  <c r="O26" s="1"/>
  <c r="O39"/>
  <c r="L14" l="1"/>
  <c r="L26" s="1"/>
  <c r="L44" s="1"/>
  <c r="X39"/>
  <c r="X43" s="1"/>
  <c r="O43"/>
  <c r="L52" l="1"/>
  <c r="O7"/>
  <c r="O9" s="1"/>
  <c r="O44" s="1"/>
  <c r="X7"/>
  <c r="O52" l="1"/>
  <c r="M52"/>
  <c r="V52" l="1"/>
  <c r="W5"/>
  <c r="W9" l="1"/>
  <c r="W44" l="1"/>
  <c r="W52" s="1"/>
  <c r="X5"/>
  <c r="X9" s="1"/>
  <c r="X44" s="1"/>
  <c r="X52" s="1"/>
</calcChain>
</file>

<file path=xl/sharedStrings.xml><?xml version="1.0" encoding="utf-8"?>
<sst xmlns="http://schemas.openxmlformats.org/spreadsheetml/2006/main" count="126" uniqueCount="124">
  <si>
    <t>Konto</t>
  </si>
  <si>
    <t>Opis</t>
  </si>
  <si>
    <t>Obračun (razrez) za tekuću godinu</t>
  </si>
  <si>
    <t>Otpis po Uredbi</t>
  </si>
  <si>
    <t>Predstečajna
Otpis PG</t>
  </si>
  <si>
    <t>Predstečajna
Otpis OG</t>
  </si>
  <si>
    <t>UKUPNO</t>
  </si>
  <si>
    <t>Naplaćeno u tekućoj godini</t>
  </si>
  <si>
    <t>Dospjela</t>
  </si>
  <si>
    <t>Nedospjela</t>
  </si>
  <si>
    <t>UKUPNO OVRHE</t>
  </si>
  <si>
    <t>NEOVRŠENA POTRAŽIVANJA KONAČNO</t>
  </si>
  <si>
    <t>1</t>
  </si>
  <si>
    <t>1613102</t>
  </si>
  <si>
    <t>Porez na kuće za odmor</t>
  </si>
  <si>
    <t>1614602</t>
  </si>
  <si>
    <t>Porez na tvrtku ili naziv</t>
  </si>
  <si>
    <t>1614301</t>
  </si>
  <si>
    <t xml:space="preserve">Porez na potrošnju </t>
  </si>
  <si>
    <t>Porez na korištenje javnih površina</t>
  </si>
  <si>
    <t>161</t>
  </si>
  <si>
    <t>Ukupno potraživanja za poreze</t>
  </si>
  <si>
    <t>1641901</t>
  </si>
  <si>
    <t>Potraživanja po osnovi naknade za zbrinjavanje kom. otpada na Kaštjunu</t>
  </si>
  <si>
    <t>Potraživanja za Ugovore o financiranju-stvarni troškovi gradnje</t>
  </si>
  <si>
    <t>Ostala potraživanja za usluge Grada Pule</t>
  </si>
  <si>
    <t>1641</t>
  </si>
  <si>
    <t>Potraživanja za prihode od financijske imovine-knjiga izlaznih računa</t>
  </si>
  <si>
    <t>1642</t>
  </si>
  <si>
    <t>Potraživanja za prihode od nefinancijske imovine</t>
  </si>
  <si>
    <t>1642101</t>
  </si>
  <si>
    <t>Potraživanja za koncesije-pom.dobro</t>
  </si>
  <si>
    <t>16421</t>
  </si>
  <si>
    <t>Potraživanja za dane koncesije</t>
  </si>
  <si>
    <t>1642201</t>
  </si>
  <si>
    <t>Potraživanje za stanarinu-najam</t>
  </si>
  <si>
    <t>1642203</t>
  </si>
  <si>
    <t>Potraživanja za najam javnih površina</t>
  </si>
  <si>
    <t>1642204</t>
  </si>
  <si>
    <t>Potraživanja za zakup poslovnog prostora</t>
  </si>
  <si>
    <t>1642207</t>
  </si>
  <si>
    <t>16422</t>
  </si>
  <si>
    <t>Potraživanja od zakupa i iznajmljivanja imovine</t>
  </si>
  <si>
    <t>16423</t>
  </si>
  <si>
    <t>Potraživanja za naknade za korištenje nefinancijske imovine</t>
  </si>
  <si>
    <t>16429002</t>
  </si>
  <si>
    <t>16429003</t>
  </si>
  <si>
    <t>Naknada za zadržavanje besp.izg.zgr.u prostoru-2963</t>
  </si>
  <si>
    <t>16429</t>
  </si>
  <si>
    <t>Potraživanja za ostale prihode od nefinancijske imovine</t>
  </si>
  <si>
    <t>164</t>
  </si>
  <si>
    <t>Potraživanja za prihode od imovine</t>
  </si>
  <si>
    <t>1652601</t>
  </si>
  <si>
    <t>Potraživanja od APN-a</t>
  </si>
  <si>
    <t>1652603</t>
  </si>
  <si>
    <t>Potraživanja za divlji deponij</t>
  </si>
  <si>
    <t>1652604</t>
  </si>
  <si>
    <t>1652605</t>
  </si>
  <si>
    <t>1652</t>
  </si>
  <si>
    <t>Potraživanja za prihode po posebnim propisima</t>
  </si>
  <si>
    <t>1653300</t>
  </si>
  <si>
    <t>1653200</t>
  </si>
  <si>
    <t>Potraživanja za komunalnu naknadu</t>
  </si>
  <si>
    <t>1653100</t>
  </si>
  <si>
    <t>Potraživanja za komunalni doprinos</t>
  </si>
  <si>
    <t>1653</t>
  </si>
  <si>
    <t>Potraživanja za komunalne doprinose i naknade</t>
  </si>
  <si>
    <t>165</t>
  </si>
  <si>
    <t>Potraživanja za upravne i administrativne pristojbe, pristojbe po posebnim propisima</t>
  </si>
  <si>
    <t>16815000</t>
  </si>
  <si>
    <t>Potraživanja za kazne za nepropisno parkirana vozila</t>
  </si>
  <si>
    <t>16815001</t>
  </si>
  <si>
    <t>16815002</t>
  </si>
  <si>
    <t>Potraživanje od pauka</t>
  </si>
  <si>
    <t>168</t>
  </si>
  <si>
    <t>Potraživanja za kazne i upravne mjere</t>
  </si>
  <si>
    <t>16</t>
  </si>
  <si>
    <t>Potraživanja za prihode poslovanja</t>
  </si>
  <si>
    <t>1721101
1721102
1721110
1721111
1721112</t>
  </si>
  <si>
    <t>Potraživanja od prodaje stanova</t>
  </si>
  <si>
    <t>17212001</t>
  </si>
  <si>
    <t>Potraživanja od prodaje nekretnina-poslovni prostori</t>
  </si>
  <si>
    <t>1711101
1711103</t>
  </si>
  <si>
    <t>Potraživanja od prodaje nekretnina-zemljište</t>
  </si>
  <si>
    <t>17</t>
  </si>
  <si>
    <t>Potraživanja od prodaje nefinancijske imovine</t>
  </si>
  <si>
    <t>1291101</t>
  </si>
  <si>
    <t>1292104</t>
  </si>
  <si>
    <t>Ostala nespomenuta potraživanja</t>
  </si>
  <si>
    <t>Potraživanja iz ranijih godina dospjela</t>
  </si>
  <si>
    <t>Prijavljeno u stečaj ili likvidaciju-saldo</t>
  </si>
  <si>
    <t>Prijavljeno u postupak predstečajne nagodbe-saldo</t>
  </si>
  <si>
    <t>Potraživanja za naknadu za uređenje voda-stambeni pr.</t>
  </si>
  <si>
    <t>Potraživanja za naknadu za uređenje voda-poslovni pr.</t>
  </si>
  <si>
    <t xml:space="preserve">Potraživanja za naknadu za priključke </t>
  </si>
  <si>
    <t>Potraživanja za kazne za parkirališta</t>
  </si>
  <si>
    <t>Potraživanja za nakn.za uređ.voda-zakupci</t>
  </si>
  <si>
    <t>Grad Pula - potraživanja za bolovanje</t>
  </si>
  <si>
    <t>Otpis po Odlukama/Rješenjima</t>
  </si>
  <si>
    <t>Naplaćeno do .2015. za prošlu godinu</t>
  </si>
  <si>
    <t>1683102</t>
  </si>
  <si>
    <t>Potraživanja za ostale prihode - parnični troškovi</t>
  </si>
  <si>
    <t>1683103</t>
  </si>
  <si>
    <t>Potraživanja za ostale prihode - presuda Monte Zaro</t>
  </si>
  <si>
    <t>Redni
broj</t>
  </si>
  <si>
    <t>Potraživanja
(stanje 1.1.)</t>
  </si>
  <si>
    <t>SVEUKUPNO</t>
  </si>
  <si>
    <t>Potraživanja za spomeničku rentu 100%</t>
  </si>
  <si>
    <t>Potraživanja (stanje 30.06.)</t>
  </si>
  <si>
    <t>123
124
1291
1292</t>
  </si>
  <si>
    <t>Potraživanja od zaposlenih
Ostala potraživanja za predujmove i naknade koje se refundiraju i ostala nespomenuta potraživanja</t>
  </si>
  <si>
    <t>GRAD PULA - POLA STANJE POTRAŽIVANJA NA DAN 30.06.2020.</t>
  </si>
  <si>
    <t>Mjenice i zadužnice
u 2020. - saldo</t>
  </si>
  <si>
    <t>Poslane opomene u 2020.</t>
  </si>
  <si>
    <t>Potraživanja tekuće 2020. godine dospjela</t>
  </si>
  <si>
    <t>Ovrhe saldo
30.06.2020</t>
  </si>
  <si>
    <t>161340</t>
  </si>
  <si>
    <t>Porez na promet nekretnina 1783</t>
  </si>
  <si>
    <t>1681600</t>
  </si>
  <si>
    <t xml:space="preserve">Kazne po prekršajnom nalogu-porezna uprava                                     </t>
  </si>
  <si>
    <t>6</t>
  </si>
  <si>
    <t>13 (9+10+11+12)</t>
  </si>
  <si>
    <t>10</t>
  </si>
  <si>
    <t>19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</si>
</sst>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i/>
      <sz val="1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4" fontId="0" fillId="0" borderId="2" xfId="0" applyNumberFormat="1" applyFill="1" applyBorder="1" applyAlignment="1" applyProtection="1">
      <alignment wrapText="1"/>
      <protection locked="0"/>
    </xf>
    <xf numFmtId="49" fontId="5" fillId="0" borderId="2" xfId="0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 applyAlignment="1" applyProtection="1">
      <alignment wrapText="1"/>
      <protection locked="0"/>
    </xf>
    <xf numFmtId="4" fontId="0" fillId="0" borderId="2" xfId="0" applyNumberFormat="1" applyFill="1" applyBorder="1" applyAlignment="1" applyProtection="1">
      <alignment horizontal="right" wrapText="1"/>
      <protection locked="0"/>
    </xf>
    <xf numFmtId="4" fontId="5" fillId="0" borderId="2" xfId="0" applyNumberFormat="1" applyFont="1" applyFill="1" applyBorder="1" applyAlignment="1" applyProtection="1">
      <alignment wrapText="1"/>
      <protection locked="0"/>
    </xf>
    <xf numFmtId="4" fontId="5" fillId="0" borderId="2" xfId="0" applyNumberFormat="1" applyFont="1" applyFill="1" applyBorder="1" applyAlignment="1" applyProtection="1">
      <alignment horizontal="right" wrapText="1"/>
      <protection locked="0"/>
    </xf>
    <xf numFmtId="49" fontId="5" fillId="0" borderId="2" xfId="0" applyNumberFormat="1" applyFont="1" applyFill="1" applyBorder="1" applyAlignment="1">
      <alignment horizontal="left" wrapText="1"/>
    </xf>
    <xf numFmtId="4" fontId="0" fillId="0" borderId="0" xfId="0" applyNumberFormat="1" applyFill="1"/>
    <xf numFmtId="4" fontId="0" fillId="0" borderId="0" xfId="0" applyNumberFormat="1" applyFill="1" applyBorder="1"/>
    <xf numFmtId="49" fontId="5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wrapText="1"/>
    </xf>
    <xf numFmtId="49" fontId="5" fillId="5" borderId="0" xfId="0" applyNumberFormat="1" applyFont="1" applyFill="1" applyBorder="1" applyAlignment="1">
      <alignment horizontal="left" wrapText="1"/>
    </xf>
    <xf numFmtId="0" fontId="0" fillId="0" borderId="0" xfId="0" applyBorder="1"/>
    <xf numFmtId="4" fontId="0" fillId="0" borderId="0" xfId="0" applyNumberFormat="1" applyFill="1" applyAlignment="1"/>
    <xf numFmtId="0" fontId="1" fillId="0" borderId="1" xfId="0" applyFont="1" applyFill="1" applyBorder="1" applyAlignment="1">
      <alignment wrapText="1"/>
    </xf>
    <xf numFmtId="0" fontId="0" fillId="0" borderId="0" xfId="0" applyFill="1" applyAlignment="1"/>
    <xf numFmtId="0" fontId="7" fillId="0" borderId="0" xfId="0" applyFont="1" applyAlignment="1"/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1" xfId="0" applyNumberFormat="1" applyFill="1" applyBorder="1" applyAlignment="1" applyProtection="1">
      <alignment wrapText="1"/>
      <protection locked="0"/>
    </xf>
    <xf numFmtId="4" fontId="6" fillId="4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0" fillId="6" borderId="1" xfId="0" applyNumberFormat="1" applyFill="1" applyBorder="1" applyAlignment="1" applyProtection="1">
      <alignment wrapText="1"/>
      <protection locked="0"/>
    </xf>
    <xf numFmtId="4" fontId="5" fillId="0" borderId="1" xfId="0" applyNumberFormat="1" applyFont="1" applyFill="1" applyBorder="1" applyAlignment="1" applyProtection="1">
      <alignment horizontal="right" wrapText="1"/>
      <protection locked="0"/>
    </xf>
    <xf numFmtId="4" fontId="6" fillId="4" borderId="1" xfId="0" applyNumberFormat="1" applyFont="1" applyFill="1" applyBorder="1" applyAlignment="1" applyProtection="1">
      <alignment horizontal="right" wrapText="1"/>
      <protection locked="0"/>
    </xf>
    <xf numFmtId="4" fontId="5" fillId="0" borderId="1" xfId="0" applyNumberFormat="1" applyFont="1" applyFill="1" applyBorder="1" applyAlignment="1" applyProtection="1">
      <alignment wrapText="1"/>
      <protection locked="0"/>
    </xf>
    <xf numFmtId="4" fontId="6" fillId="4" borderId="1" xfId="0" applyNumberFormat="1" applyFont="1" applyFill="1" applyBorder="1" applyAlignment="1" applyProtection="1">
      <alignment wrapText="1"/>
      <protection locked="0"/>
    </xf>
    <xf numFmtId="4" fontId="6" fillId="5" borderId="1" xfId="0" applyNumberFormat="1" applyFont="1" applyFill="1" applyBorder="1" applyAlignment="1" applyProtection="1">
      <alignment wrapText="1"/>
      <protection locked="0"/>
    </xf>
    <xf numFmtId="4" fontId="6" fillId="2" borderId="1" xfId="0" applyNumberFormat="1" applyFont="1" applyFill="1" applyBorder="1" applyAlignment="1">
      <alignment wrapText="1"/>
    </xf>
    <xf numFmtId="4" fontId="3" fillId="0" borderId="0" xfId="0" applyNumberFormat="1" applyFont="1" applyFill="1" applyBorder="1"/>
    <xf numFmtId="49" fontId="3" fillId="0" borderId="2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left" wrapText="1"/>
    </xf>
    <xf numFmtId="4" fontId="3" fillId="0" borderId="2" xfId="0" applyNumberFormat="1" applyFont="1" applyFill="1" applyBorder="1" applyAlignment="1" applyProtection="1">
      <alignment horizontal="right" wrapText="1"/>
      <protection locked="0"/>
    </xf>
    <xf numFmtId="4" fontId="5" fillId="0" borderId="0" xfId="0" applyNumberFormat="1" applyFont="1" applyFill="1" applyBorder="1" applyAlignment="1">
      <alignment wrapText="1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3" fillId="0" borderId="0" xfId="0" applyNumberFormat="1" applyFont="1" applyFill="1" applyBorder="1" applyAlignment="1">
      <alignment horizontal="center" wrapText="1"/>
    </xf>
    <xf numFmtId="4" fontId="0" fillId="0" borderId="0" xfId="0" applyNumberFormat="1"/>
    <xf numFmtId="4" fontId="5" fillId="0" borderId="0" xfId="0" applyNumberFormat="1" applyFont="1" applyFill="1" applyBorder="1" applyAlignment="1">
      <alignment horizontal="left" wrapText="1"/>
    </xf>
    <xf numFmtId="49" fontId="0" fillId="0" borderId="2" xfId="0" applyNumberFormat="1" applyFill="1" applyBorder="1" applyAlignment="1">
      <alignment wrapText="1"/>
    </xf>
    <xf numFmtId="4" fontId="6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8" fillId="9" borderId="2" xfId="0" applyNumberFormat="1" applyFont="1" applyFill="1" applyBorder="1" applyAlignment="1">
      <alignment horizontal="center" wrapText="1"/>
    </xf>
    <xf numFmtId="49" fontId="8" fillId="9" borderId="2" xfId="0" applyNumberFormat="1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wrapText="1"/>
    </xf>
    <xf numFmtId="1" fontId="3" fillId="0" borderId="2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6" fillId="4" borderId="2" xfId="0" applyNumberFormat="1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" fontId="6" fillId="4" borderId="2" xfId="0" applyNumberFormat="1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1" fontId="5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 applyProtection="1">
      <alignment vertical="center" wrapText="1"/>
      <protection locked="0"/>
    </xf>
    <xf numFmtId="1" fontId="6" fillId="4" borderId="2" xfId="0" applyNumberFormat="1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left" wrapText="1"/>
    </xf>
    <xf numFmtId="4" fontId="6" fillId="4" borderId="2" xfId="0" applyNumberFormat="1" applyFont="1" applyFill="1" applyBorder="1" applyAlignment="1" applyProtection="1">
      <alignment horizontal="right" wrapText="1"/>
      <protection locked="0"/>
    </xf>
    <xf numFmtId="0" fontId="3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4" fontId="6" fillId="4" borderId="2" xfId="0" applyNumberFormat="1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4" fontId="6" fillId="2" borderId="2" xfId="0" applyNumberFormat="1" applyFont="1" applyFill="1" applyBorder="1" applyAlignment="1" applyProtection="1">
      <alignment wrapText="1"/>
      <protection locked="0"/>
    </xf>
    <xf numFmtId="0" fontId="0" fillId="0" borderId="2" xfId="0" applyFill="1" applyBorder="1" applyAlignment="1">
      <alignment horizontal="left" wrapText="1"/>
    </xf>
    <xf numFmtId="4" fontId="0" fillId="0" borderId="2" xfId="0" applyNumberFormat="1" applyFill="1" applyBorder="1" applyAlignment="1">
      <alignment wrapText="1"/>
    </xf>
    <xf numFmtId="1" fontId="6" fillId="7" borderId="2" xfId="0" applyNumberFormat="1" applyFont="1" applyFill="1" applyBorder="1" applyAlignment="1">
      <alignment horizontal="center" wrapText="1"/>
    </xf>
    <xf numFmtId="49" fontId="6" fillId="7" borderId="2" xfId="0" applyNumberFormat="1" applyFont="1" applyFill="1" applyBorder="1" applyAlignment="1">
      <alignment horizontal="left" wrapText="1"/>
    </xf>
    <xf numFmtId="0" fontId="6" fillId="7" borderId="2" xfId="0" applyFont="1" applyFill="1" applyBorder="1" applyAlignment="1">
      <alignment wrapText="1"/>
    </xf>
    <xf numFmtId="4" fontId="6" fillId="7" borderId="2" xfId="0" applyNumberFormat="1" applyFont="1" applyFill="1" applyBorder="1" applyAlignment="1" applyProtection="1">
      <alignment wrapText="1"/>
      <protection locked="0"/>
    </xf>
    <xf numFmtId="1" fontId="6" fillId="8" borderId="2" xfId="0" applyNumberFormat="1" applyFont="1" applyFill="1" applyBorder="1" applyAlignment="1">
      <alignment horizontal="center" wrapText="1"/>
    </xf>
    <xf numFmtId="49" fontId="6" fillId="8" borderId="2" xfId="0" applyNumberFormat="1" applyFont="1" applyFill="1" applyBorder="1" applyAlignment="1">
      <alignment horizontal="left" wrapText="1"/>
    </xf>
    <xf numFmtId="0" fontId="6" fillId="8" borderId="2" xfId="0" applyFont="1" applyFill="1" applyBorder="1" applyAlignment="1">
      <alignment horizontal="center" wrapText="1"/>
    </xf>
    <xf numFmtId="4" fontId="6" fillId="8" borderId="2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8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909A0C2-1959-47F2-BF76-B6E883F25F6B}" diskRevisions="1" revisionId="879" version="138">
  <header guid="{A909A0C2-1959-47F2-BF76-B6E883F25F6B}" dateTime="2020-08-31T14:44:43" maxSheetId="2" userName="bbatelic" r:id="rId13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D11D6AA0-EDFE-4E07-8ADC-865141EACEB2}" action="delete"/>
  <rdn rId="0" localSheetId="1" customView="1" name="Z_D11D6AA0_EDFE_4E07_8ADC_865141EACEB2_.wvu.PrintArea" hidden="1" oldHidden="1">
    <formula>'POTRAŽIVANJA 2020. PULA '!$A$1:$X$52</formula>
    <oldFormula>'POTRAŽIVANJA 2020. PULA '!$A$1:$X$52</oldFormula>
  </rdn>
  <rdn rId="0" localSheetId="1" customView="1" name="Z_D11D6AA0_EDFE_4E07_8ADC_865141EACEB2_.wvu.PrintTitles" hidden="1" oldHidden="1">
    <formula>'POTRAŽIVANJA 2020. PULA '!$2:$3</formula>
    <oldFormula>'POTRAŽIVANJA 2020. PULA '!$2:$3</oldFormula>
  </rdn>
  <rdn rId="0" localSheetId="1" customView="1" name="Z_D11D6AA0_EDFE_4E07_8ADC_865141EACEB2_.wvu.Cols" hidden="1" oldHidden="1">
    <formula>'POTRAŽIVANJA 2020. PULA '!$D:$K,'POTRAŽIVANJA 2020. PULA '!$Q:$Q,'POTRAŽIVANJA 2020. PULA '!$X:$X</formula>
    <oldFormula>'POTRAŽIVANJA 2020. PULA '!$D:$K,'POTRAŽIVANJA 2020. PULA '!$Q:$Q,'POTRAŽIVANJA 2020. PULA '!$X:$X</oldFormula>
  </rdn>
  <rdn rId="0" localSheetId="1" customView="1" name="Z_D11D6AA0_EDFE_4E07_8ADC_865141EACEB2_.wvu.FilterData" hidden="1" oldHidden="1">
    <formula>'POTRAŽIVANJA 2020. PULA '!$A$2:$W$2</formula>
    <oldFormula>'POTRAŽIVANJA 2020. PULA '!$A$2:$W$2</oldFormula>
  </rdn>
  <rcv guid="{D11D6AA0-EDFE-4E07-8ADC-865141EACEB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X123"/>
  <sheetViews>
    <sheetView showGridLines="0" tabSelected="1" zoomScaleNormal="100" zoomScaleSheetLayoutView="70" zoomScalePageLayoutView="50" workbookViewId="0">
      <pane ySplit="3" topLeftCell="A4" activePane="bottomLeft" state="frozen"/>
      <selection pane="bottomLeft" activeCell="A53" sqref="A53"/>
    </sheetView>
  </sheetViews>
  <sheetFormatPr defaultRowHeight="12.75"/>
  <cols>
    <col min="1" max="1" width="5.85546875" customWidth="1"/>
    <col min="2" max="2" width="9.5703125" bestFit="1" customWidth="1"/>
    <col min="3" max="3" width="50.7109375" customWidth="1"/>
    <col min="4" max="4" width="23.140625" hidden="1" customWidth="1"/>
    <col min="5" max="6" width="16.7109375" hidden="1" customWidth="1"/>
    <col min="7" max="7" width="13" hidden="1" customWidth="1"/>
    <col min="8" max="8" width="12.85546875" hidden="1" customWidth="1"/>
    <col min="9" max="9" width="13.28515625" hidden="1" customWidth="1"/>
    <col min="10" max="11" width="16.7109375" hidden="1" customWidth="1"/>
    <col min="12" max="13" width="16.7109375" customWidth="1"/>
    <col min="14" max="14" width="15.7109375" bestFit="1" customWidth="1"/>
    <col min="15" max="16" width="16.7109375" customWidth="1"/>
    <col min="17" max="17" width="16.7109375" hidden="1" customWidth="1"/>
    <col min="18" max="18" width="15.42578125" customWidth="1"/>
    <col min="19" max="19" width="15" customWidth="1"/>
    <col min="20" max="20" width="15.140625" customWidth="1"/>
    <col min="21" max="21" width="13.85546875" customWidth="1"/>
    <col min="22" max="23" width="15.7109375" bestFit="1" customWidth="1"/>
    <col min="24" max="24" width="17.5703125" hidden="1" customWidth="1"/>
    <col min="25" max="25" width="10.5703125" customWidth="1"/>
  </cols>
  <sheetData>
    <row r="1" spans="1:24" s="1" customFormat="1" ht="35.25" customHeight="1">
      <c r="A1" s="90" t="s">
        <v>111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19"/>
    </row>
    <row r="2" spans="1:24" s="1" customFormat="1" ht="59.25" customHeight="1">
      <c r="A2" s="48" t="s">
        <v>104</v>
      </c>
      <c r="B2" s="48" t="s">
        <v>0</v>
      </c>
      <c r="C2" s="49" t="s">
        <v>1</v>
      </c>
      <c r="D2" s="50" t="s">
        <v>105</v>
      </c>
      <c r="E2" s="49" t="s">
        <v>2</v>
      </c>
      <c r="F2" s="49" t="s">
        <v>98</v>
      </c>
      <c r="G2" s="49" t="s">
        <v>3</v>
      </c>
      <c r="H2" s="50" t="s">
        <v>4</v>
      </c>
      <c r="I2" s="50" t="s">
        <v>5</v>
      </c>
      <c r="J2" s="49" t="s">
        <v>6</v>
      </c>
      <c r="K2" s="49" t="s">
        <v>7</v>
      </c>
      <c r="L2" s="50" t="s">
        <v>108</v>
      </c>
      <c r="M2" s="50" t="s">
        <v>8</v>
      </c>
      <c r="N2" s="50" t="s">
        <v>9</v>
      </c>
      <c r="O2" s="50" t="s">
        <v>89</v>
      </c>
      <c r="P2" s="50" t="s">
        <v>114</v>
      </c>
      <c r="Q2" s="50" t="s">
        <v>99</v>
      </c>
      <c r="R2" s="50" t="s">
        <v>113</v>
      </c>
      <c r="S2" s="51" t="s">
        <v>90</v>
      </c>
      <c r="T2" s="51" t="s">
        <v>91</v>
      </c>
      <c r="U2" s="50" t="s">
        <v>112</v>
      </c>
      <c r="V2" s="51" t="s">
        <v>115</v>
      </c>
      <c r="W2" s="51" t="s">
        <v>10</v>
      </c>
      <c r="X2" s="23" t="s">
        <v>11</v>
      </c>
    </row>
    <row r="3" spans="1:24" s="20" customFormat="1" ht="20.25" customHeight="1">
      <c r="A3" s="52">
        <v>0</v>
      </c>
      <c r="B3" s="53" t="s">
        <v>12</v>
      </c>
      <c r="C3" s="54">
        <v>2</v>
      </c>
      <c r="D3" s="54">
        <v>3</v>
      </c>
      <c r="E3" s="54">
        <v>4</v>
      </c>
      <c r="F3" s="54">
        <v>5</v>
      </c>
      <c r="G3" s="54">
        <v>6</v>
      </c>
      <c r="H3" s="54">
        <v>7</v>
      </c>
      <c r="I3" s="54">
        <v>8</v>
      </c>
      <c r="J3" s="54">
        <v>9</v>
      </c>
      <c r="K3" s="54">
        <v>10</v>
      </c>
      <c r="L3" s="54">
        <v>3</v>
      </c>
      <c r="M3" s="54">
        <v>4</v>
      </c>
      <c r="N3" s="54">
        <v>5</v>
      </c>
      <c r="O3" s="54">
        <v>6</v>
      </c>
      <c r="P3" s="54">
        <v>7</v>
      </c>
      <c r="Q3" s="54">
        <v>16</v>
      </c>
      <c r="R3" s="54">
        <v>8</v>
      </c>
      <c r="S3" s="54">
        <v>9</v>
      </c>
      <c r="T3" s="54">
        <v>10</v>
      </c>
      <c r="U3" s="54">
        <v>11</v>
      </c>
      <c r="V3" s="54">
        <v>12</v>
      </c>
      <c r="W3" s="54" t="s">
        <v>121</v>
      </c>
      <c r="X3" s="24">
        <v>15</v>
      </c>
    </row>
    <row r="4" spans="1:24" s="20" customFormat="1">
      <c r="A4" s="55">
        <v>1</v>
      </c>
      <c r="B4" s="36" t="s">
        <v>13</v>
      </c>
      <c r="C4" s="56" t="s">
        <v>14</v>
      </c>
      <c r="D4" s="2">
        <v>-1778.9599999999627</v>
      </c>
      <c r="E4" s="2">
        <v>111377.85</v>
      </c>
      <c r="F4" s="2">
        <v>751.04</v>
      </c>
      <c r="G4" s="2">
        <v>0</v>
      </c>
      <c r="H4" s="2">
        <v>0</v>
      </c>
      <c r="I4" s="2">
        <v>0</v>
      </c>
      <c r="J4" s="2">
        <f>D4+E4-F4-G4-H4-I4</f>
        <v>108847.85000000005</v>
      </c>
      <c r="K4" s="2">
        <v>102899.29</v>
      </c>
      <c r="L4" s="5">
        <f>17459.53+14938.32</f>
        <v>32397.85</v>
      </c>
      <c r="M4" s="2">
        <f>L4-N4</f>
        <v>17459.53</v>
      </c>
      <c r="N4" s="2">
        <v>14938.32</v>
      </c>
      <c r="O4" s="2">
        <f>M4-P4</f>
        <v>4382.7799999999988</v>
      </c>
      <c r="P4" s="2">
        <f>28015.07-N4</f>
        <v>13076.75</v>
      </c>
      <c r="Q4" s="2">
        <v>0</v>
      </c>
      <c r="R4" s="2">
        <v>0</v>
      </c>
      <c r="S4" s="5">
        <v>0</v>
      </c>
      <c r="T4" s="5">
        <v>0</v>
      </c>
      <c r="U4" s="5">
        <v>0</v>
      </c>
      <c r="V4" s="5">
        <f>1671.74+501.38</f>
        <v>2173.12</v>
      </c>
      <c r="W4" s="2">
        <f>S4+T4+U4+V4</f>
        <v>2173.12</v>
      </c>
      <c r="X4" s="25" t="e">
        <f>#REF!-Q4</f>
        <v>#REF!</v>
      </c>
    </row>
    <row r="5" spans="1:24" s="20" customFormat="1">
      <c r="A5" s="55">
        <v>2</v>
      </c>
      <c r="B5" s="36" t="s">
        <v>15</v>
      </c>
      <c r="C5" s="56" t="s">
        <v>16</v>
      </c>
      <c r="D5" s="2">
        <v>2268801.0099999961</v>
      </c>
      <c r="E5" s="2">
        <v>115977.36</v>
      </c>
      <c r="F5" s="2">
        <v>733516.01</v>
      </c>
      <c r="G5" s="2">
        <v>0</v>
      </c>
      <c r="H5" s="2">
        <v>1762.26</v>
      </c>
      <c r="I5" s="2">
        <v>0</v>
      </c>
      <c r="J5" s="2">
        <f>D5+E5-F5-G5-H5-I5</f>
        <v>1649500.0999999959</v>
      </c>
      <c r="K5" s="2">
        <v>101919.39</v>
      </c>
      <c r="L5" s="5">
        <f>815861.02+440.28</f>
        <v>816301.3</v>
      </c>
      <c r="M5" s="2">
        <f>L5-N5</f>
        <v>815861.02</v>
      </c>
      <c r="N5" s="2">
        <v>440.28</v>
      </c>
      <c r="O5" s="2">
        <f>M5-P5</f>
        <v>871226.06</v>
      </c>
      <c r="P5" s="2">
        <f>-54924.76-N5</f>
        <v>-55365.04</v>
      </c>
      <c r="Q5" s="2">
        <v>0</v>
      </c>
      <c r="R5" s="2">
        <v>0</v>
      </c>
      <c r="S5" s="5">
        <f>127062.64+44279.36</f>
        <v>171342</v>
      </c>
      <c r="T5" s="5">
        <f>60346.86+3031.05</f>
        <v>63377.91</v>
      </c>
      <c r="U5" s="5">
        <v>0</v>
      </c>
      <c r="V5" s="5">
        <f>408066.1+235215.15-62140.14</f>
        <v>581141.11</v>
      </c>
      <c r="W5" s="2">
        <f>S5+T5+U5+V5</f>
        <v>815861.02</v>
      </c>
      <c r="X5" s="25" t="e">
        <f>#REF!-Q5</f>
        <v>#REF!</v>
      </c>
    </row>
    <row r="6" spans="1:24" s="20" customFormat="1">
      <c r="A6" s="55">
        <v>3</v>
      </c>
      <c r="B6" s="36" t="s">
        <v>17</v>
      </c>
      <c r="C6" s="56" t="s">
        <v>18</v>
      </c>
      <c r="D6" s="2">
        <v>620787.08000000147</v>
      </c>
      <c r="E6" s="2">
        <v>3837319.62</v>
      </c>
      <c r="F6" s="2">
        <v>122693.31</v>
      </c>
      <c r="G6" s="2">
        <v>0</v>
      </c>
      <c r="H6" s="2">
        <v>0</v>
      </c>
      <c r="I6" s="2">
        <v>0</v>
      </c>
      <c r="J6" s="2">
        <f>D6+E6-F6-G6-H6-I6</f>
        <v>4335413.3900000015</v>
      </c>
      <c r="K6" s="2">
        <v>3765165.83</v>
      </c>
      <c r="L6" s="5">
        <v>526940.9</v>
      </c>
      <c r="M6" s="2">
        <f>L6-N6</f>
        <v>526940.9</v>
      </c>
      <c r="N6" s="2">
        <v>0</v>
      </c>
      <c r="O6" s="2">
        <f>M6-P6</f>
        <v>403408.64000000001</v>
      </c>
      <c r="P6" s="2">
        <f>123532.26-N6</f>
        <v>123532.26</v>
      </c>
      <c r="Q6" s="2">
        <v>0</v>
      </c>
      <c r="R6" s="2">
        <v>0</v>
      </c>
      <c r="S6" s="5">
        <f>46269.49+8947.33</f>
        <v>55216.82</v>
      </c>
      <c r="T6" s="5">
        <v>2146.75</v>
      </c>
      <c r="U6" s="5">
        <v>0</v>
      </c>
      <c r="V6" s="5">
        <f>265597.55+82808.91</f>
        <v>348406.45999999996</v>
      </c>
      <c r="W6" s="2">
        <f>S6+T6+U6+V6</f>
        <v>405770.02999999997</v>
      </c>
      <c r="X6" s="25" t="e">
        <f>#REF!-Q6</f>
        <v>#REF!</v>
      </c>
    </row>
    <row r="7" spans="1:24" s="20" customFormat="1">
      <c r="A7" s="55">
        <v>4</v>
      </c>
      <c r="B7" s="45">
        <v>1613101</v>
      </c>
      <c r="C7" s="56" t="s">
        <v>19</v>
      </c>
      <c r="D7" s="2">
        <v>494821.11000000034</v>
      </c>
      <c r="E7" s="2">
        <v>5352354.29</v>
      </c>
      <c r="F7" s="2">
        <v>60977.22</v>
      </c>
      <c r="G7" s="2">
        <v>0</v>
      </c>
      <c r="H7" s="2">
        <v>0</v>
      </c>
      <c r="I7" s="2">
        <v>0</v>
      </c>
      <c r="J7" s="2">
        <f>D7+E7-F7-G7-H7-I7</f>
        <v>5786198.1800000006</v>
      </c>
      <c r="K7" s="2">
        <v>5199787.1100000003</v>
      </c>
      <c r="L7" s="5">
        <v>1270487.3899999999</v>
      </c>
      <c r="M7" s="2">
        <f>L7-N7</f>
        <v>1270487.3899999999</v>
      </c>
      <c r="N7" s="2">
        <v>0</v>
      </c>
      <c r="O7" s="2">
        <f>M7-P7</f>
        <v>329331.8899999999</v>
      </c>
      <c r="P7" s="2">
        <v>941155.5</v>
      </c>
      <c r="Q7" s="2">
        <v>0</v>
      </c>
      <c r="R7" s="2">
        <v>222032.77</v>
      </c>
      <c r="S7" s="2">
        <v>0</v>
      </c>
      <c r="T7" s="2">
        <v>0</v>
      </c>
      <c r="U7" s="2">
        <v>0</v>
      </c>
      <c r="V7" s="2">
        <v>110244.07</v>
      </c>
      <c r="W7" s="2">
        <f>S7+T7+U7+V7</f>
        <v>110244.07</v>
      </c>
      <c r="X7" s="25" t="e">
        <f>#REF!-Q7</f>
        <v>#REF!</v>
      </c>
    </row>
    <row r="8" spans="1:24" s="20" customFormat="1">
      <c r="A8" s="55">
        <v>5</v>
      </c>
      <c r="B8" s="36" t="s">
        <v>116</v>
      </c>
      <c r="C8" s="57" t="s">
        <v>117</v>
      </c>
      <c r="D8" s="2"/>
      <c r="E8" s="2"/>
      <c r="F8" s="2"/>
      <c r="G8" s="2"/>
      <c r="H8" s="2"/>
      <c r="I8" s="2"/>
      <c r="J8" s="2"/>
      <c r="K8" s="2"/>
      <c r="L8" s="5">
        <v>5228498.01</v>
      </c>
      <c r="M8" s="2">
        <f>L8-N8</f>
        <v>5228498.01</v>
      </c>
      <c r="N8" s="2">
        <v>0</v>
      </c>
      <c r="O8" s="2">
        <f>M8-P8</f>
        <v>5228498.01</v>
      </c>
      <c r="P8" s="2">
        <v>0</v>
      </c>
      <c r="Q8" s="2"/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f>S8+T8+U8+V8</f>
        <v>0</v>
      </c>
      <c r="X8" s="25"/>
    </row>
    <row r="9" spans="1:24" s="21" customFormat="1" ht="30.75" customHeight="1">
      <c r="A9" s="58" t="s">
        <v>120</v>
      </c>
      <c r="B9" s="59" t="s">
        <v>20</v>
      </c>
      <c r="C9" s="60" t="s">
        <v>21</v>
      </c>
      <c r="D9" s="61">
        <f t="shared" ref="D9:X9" si="0">SUM(D4:D7)</f>
        <v>3382630.2399999979</v>
      </c>
      <c r="E9" s="61">
        <f t="shared" si="0"/>
        <v>9417029.120000001</v>
      </c>
      <c r="F9" s="61">
        <f t="shared" si="0"/>
        <v>917937.58000000007</v>
      </c>
      <c r="G9" s="61">
        <f t="shared" si="0"/>
        <v>0</v>
      </c>
      <c r="H9" s="61">
        <f t="shared" si="0"/>
        <v>1762.26</v>
      </c>
      <c r="I9" s="61">
        <f t="shared" si="0"/>
        <v>0</v>
      </c>
      <c r="J9" s="61">
        <f t="shared" si="0"/>
        <v>11879959.52</v>
      </c>
      <c r="K9" s="61">
        <f t="shared" si="0"/>
        <v>9169771.620000001</v>
      </c>
      <c r="L9" s="61">
        <f>SUM(L4:L8)</f>
        <v>7874625.4499999993</v>
      </c>
      <c r="M9" s="61">
        <f t="shared" ref="M9:W9" si="1">SUM(M4:M8)</f>
        <v>7859246.8499999996</v>
      </c>
      <c r="N9" s="61">
        <f t="shared" si="1"/>
        <v>15378.6</v>
      </c>
      <c r="O9" s="61">
        <f t="shared" si="1"/>
        <v>6836847.3799999999</v>
      </c>
      <c r="P9" s="61">
        <f t="shared" si="1"/>
        <v>1022399.47</v>
      </c>
      <c r="Q9" s="61">
        <f t="shared" si="1"/>
        <v>0</v>
      </c>
      <c r="R9" s="61">
        <f t="shared" si="1"/>
        <v>222032.77</v>
      </c>
      <c r="S9" s="61">
        <f t="shared" si="1"/>
        <v>226558.82</v>
      </c>
      <c r="T9" s="61">
        <f t="shared" si="1"/>
        <v>65524.66</v>
      </c>
      <c r="U9" s="61">
        <f t="shared" si="1"/>
        <v>0</v>
      </c>
      <c r="V9" s="61">
        <f t="shared" si="1"/>
        <v>1041964.76</v>
      </c>
      <c r="W9" s="61">
        <f t="shared" si="1"/>
        <v>1334048.24</v>
      </c>
      <c r="X9" s="26" t="e">
        <f t="shared" si="0"/>
        <v>#REF!</v>
      </c>
    </row>
    <row r="10" spans="1:24" s="20" customFormat="1" ht="25.5">
      <c r="A10" s="55">
        <v>7</v>
      </c>
      <c r="B10" s="36" t="s">
        <v>22</v>
      </c>
      <c r="C10" s="57" t="s">
        <v>23</v>
      </c>
      <c r="D10" s="2">
        <v>1021922.76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f t="shared" ref="J10:J12" si="2">D10+E10-F10-G10-H10-I10</f>
        <v>1021922.76</v>
      </c>
      <c r="K10" s="2">
        <v>344895.24</v>
      </c>
      <c r="L10" s="2">
        <f t="shared" ref="L10:L12" si="3">J10-K10</f>
        <v>677027.52</v>
      </c>
      <c r="M10" s="2">
        <v>677027.52</v>
      </c>
      <c r="N10" s="2">
        <v>0</v>
      </c>
      <c r="O10" s="2">
        <v>677027.52</v>
      </c>
      <c r="P10" s="2">
        <v>0</v>
      </c>
      <c r="Q10" s="2">
        <v>0</v>
      </c>
      <c r="R10" s="38">
        <v>0</v>
      </c>
      <c r="S10" s="6">
        <v>0</v>
      </c>
      <c r="T10" s="6">
        <v>0</v>
      </c>
      <c r="U10" s="6">
        <v>0</v>
      </c>
      <c r="V10" s="2">
        <f>563817.24-71814.12</f>
        <v>492003.12</v>
      </c>
      <c r="W10" s="2">
        <f>S10+T10+U10+V10</f>
        <v>492003.12</v>
      </c>
      <c r="X10" s="25" t="e">
        <f>#REF!-Q10</f>
        <v>#REF!</v>
      </c>
    </row>
    <row r="11" spans="1:24" s="20" customFormat="1" ht="25.5">
      <c r="A11" s="55">
        <v>8</v>
      </c>
      <c r="B11" s="36" t="s">
        <v>22</v>
      </c>
      <c r="C11" s="57" t="s">
        <v>24</v>
      </c>
      <c r="D11" s="2">
        <v>1410998.67</v>
      </c>
      <c r="E11" s="2">
        <v>0</v>
      </c>
      <c r="F11" s="2">
        <v>0</v>
      </c>
      <c r="G11" s="2">
        <v>0</v>
      </c>
      <c r="H11" s="2"/>
      <c r="I11" s="2">
        <v>0</v>
      </c>
      <c r="J11" s="2">
        <f t="shared" si="2"/>
        <v>1410998.67</v>
      </c>
      <c r="K11" s="2">
        <v>0</v>
      </c>
      <c r="L11" s="2">
        <f t="shared" si="3"/>
        <v>1410998.67</v>
      </c>
      <c r="M11" s="2">
        <f t="shared" ref="M11" si="4">L11-N11</f>
        <v>1410998.67</v>
      </c>
      <c r="N11" s="2">
        <v>0</v>
      </c>
      <c r="O11" s="2">
        <f t="shared" ref="O11" si="5">M11-P11</f>
        <v>1410998.67</v>
      </c>
      <c r="P11" s="2">
        <v>0</v>
      </c>
      <c r="Q11" s="2">
        <v>0</v>
      </c>
      <c r="R11" s="2">
        <v>0</v>
      </c>
      <c r="S11" s="6">
        <f>1166692.33+93337.32</f>
        <v>1260029.6500000001</v>
      </c>
      <c r="T11" s="6">
        <v>0</v>
      </c>
      <c r="U11" s="6">
        <v>0</v>
      </c>
      <c r="V11" s="2">
        <v>0</v>
      </c>
      <c r="W11" s="2">
        <f>S11+T11+U11+V11</f>
        <v>1260029.6500000001</v>
      </c>
      <c r="X11" s="25" t="e">
        <f>#REF!-Q11</f>
        <v>#REF!</v>
      </c>
    </row>
    <row r="12" spans="1:24" s="20" customFormat="1">
      <c r="A12" s="55">
        <v>9</v>
      </c>
      <c r="B12" s="36" t="s">
        <v>22</v>
      </c>
      <c r="C12" s="57" t="s">
        <v>25</v>
      </c>
      <c r="D12" s="2">
        <v>234299.85</v>
      </c>
      <c r="E12" s="2">
        <v>2402194</v>
      </c>
      <c r="F12" s="2">
        <v>0</v>
      </c>
      <c r="G12" s="2">
        <v>0</v>
      </c>
      <c r="H12" s="2">
        <v>0</v>
      </c>
      <c r="I12" s="2">
        <v>0</v>
      </c>
      <c r="J12" s="2">
        <f t="shared" si="2"/>
        <v>2636493.85</v>
      </c>
      <c r="K12" s="2">
        <f>1875+57837.35+937.5+57215.28+78534.53+778223.26+1875</f>
        <v>976497.92</v>
      </c>
      <c r="L12" s="2">
        <f t="shared" si="3"/>
        <v>1659995.9300000002</v>
      </c>
      <c r="M12" s="2">
        <f>202439.09+24736.4</f>
        <v>227175.49</v>
      </c>
      <c r="N12" s="2">
        <v>1432820.44</v>
      </c>
      <c r="O12" s="2">
        <f>85387.47+115742.07+1309.55</f>
        <v>202439.09</v>
      </c>
      <c r="P12" s="2">
        <f>11407.5+4050+9278.9</f>
        <v>24736.400000000001</v>
      </c>
      <c r="Q12" s="2">
        <v>0</v>
      </c>
      <c r="R12" s="6">
        <v>0</v>
      </c>
      <c r="S12" s="6">
        <v>0</v>
      </c>
      <c r="T12" s="6">
        <v>0</v>
      </c>
      <c r="U12" s="6">
        <v>0</v>
      </c>
      <c r="V12" s="2">
        <v>115742.07</v>
      </c>
      <c r="W12" s="2">
        <f>S12+T12+U12+V12</f>
        <v>115742.07</v>
      </c>
      <c r="X12" s="25" t="e">
        <f>#REF!-Q12</f>
        <v>#REF!</v>
      </c>
    </row>
    <row r="13" spans="1:24" s="20" customFormat="1" ht="25.5">
      <c r="A13" s="62" t="s">
        <v>122</v>
      </c>
      <c r="B13" s="3" t="s">
        <v>26</v>
      </c>
      <c r="C13" s="63" t="s">
        <v>27</v>
      </c>
      <c r="D13" s="4">
        <f t="shared" ref="D13:X13" si="6">SUM(D10:D12)</f>
        <v>2667221.2799999998</v>
      </c>
      <c r="E13" s="4">
        <f t="shared" si="6"/>
        <v>2402194</v>
      </c>
      <c r="F13" s="4">
        <f t="shared" si="6"/>
        <v>0</v>
      </c>
      <c r="G13" s="4">
        <f t="shared" si="6"/>
        <v>0</v>
      </c>
      <c r="H13" s="4">
        <f t="shared" si="6"/>
        <v>0</v>
      </c>
      <c r="I13" s="4">
        <f t="shared" si="6"/>
        <v>0</v>
      </c>
      <c r="J13" s="4">
        <f t="shared" si="6"/>
        <v>5069415.2799999993</v>
      </c>
      <c r="K13" s="4">
        <f t="shared" si="6"/>
        <v>1321393.1600000001</v>
      </c>
      <c r="L13" s="4">
        <f t="shared" si="6"/>
        <v>3748022.12</v>
      </c>
      <c r="M13" s="4">
        <f t="shared" si="6"/>
        <v>2315201.6799999997</v>
      </c>
      <c r="N13" s="4">
        <f t="shared" si="6"/>
        <v>1432820.44</v>
      </c>
      <c r="O13" s="4">
        <f t="shared" si="6"/>
        <v>2290465.2799999998</v>
      </c>
      <c r="P13" s="4">
        <f t="shared" si="6"/>
        <v>24736.400000000001</v>
      </c>
      <c r="Q13" s="4">
        <f t="shared" si="6"/>
        <v>0</v>
      </c>
      <c r="R13" s="4">
        <f t="shared" si="6"/>
        <v>0</v>
      </c>
      <c r="S13" s="4">
        <f t="shared" si="6"/>
        <v>1260029.6500000001</v>
      </c>
      <c r="T13" s="4">
        <f t="shared" si="6"/>
        <v>0</v>
      </c>
      <c r="U13" s="4">
        <f t="shared" si="6"/>
        <v>0</v>
      </c>
      <c r="V13" s="4">
        <f t="shared" si="6"/>
        <v>607745.18999999994</v>
      </c>
      <c r="W13" s="4">
        <f t="shared" si="6"/>
        <v>1867774.84</v>
      </c>
      <c r="X13" s="27" t="e">
        <f t="shared" si="6"/>
        <v>#REF!</v>
      </c>
    </row>
    <row r="14" spans="1:24" s="20" customFormat="1">
      <c r="A14" s="64">
        <v>11</v>
      </c>
      <c r="B14" s="3" t="s">
        <v>28</v>
      </c>
      <c r="C14" s="63" t="s">
        <v>29</v>
      </c>
      <c r="D14" s="4">
        <f t="shared" ref="D14:X14" si="7">D16+D21+D22+D25</f>
        <v>27830602.399999999</v>
      </c>
      <c r="E14" s="4">
        <f t="shared" si="7"/>
        <v>36317159.630000003</v>
      </c>
      <c r="F14" s="4">
        <f t="shared" si="7"/>
        <v>932161.03</v>
      </c>
      <c r="G14" s="4">
        <f t="shared" si="7"/>
        <v>182114.42</v>
      </c>
      <c r="H14" s="4">
        <f t="shared" si="7"/>
        <v>19856.760000000002</v>
      </c>
      <c r="I14" s="4">
        <f t="shared" si="7"/>
        <v>2485.7200000000003</v>
      </c>
      <c r="J14" s="4">
        <f t="shared" si="7"/>
        <v>63011144.100000009</v>
      </c>
      <c r="K14" s="4">
        <f t="shared" si="7"/>
        <v>35019191.469999999</v>
      </c>
      <c r="L14" s="4">
        <f t="shared" si="7"/>
        <v>32503108.460000001</v>
      </c>
      <c r="M14" s="4">
        <f t="shared" si="7"/>
        <v>29697391.84</v>
      </c>
      <c r="N14" s="4">
        <f t="shared" si="7"/>
        <v>2805716.62</v>
      </c>
      <c r="O14" s="4">
        <f t="shared" si="7"/>
        <v>25417206.089999996</v>
      </c>
      <c r="P14" s="4">
        <f t="shared" si="7"/>
        <v>4280185.75</v>
      </c>
      <c r="Q14" s="4">
        <f t="shared" si="7"/>
        <v>0</v>
      </c>
      <c r="R14" s="4">
        <f t="shared" si="7"/>
        <v>1442756.43</v>
      </c>
      <c r="S14" s="4">
        <f t="shared" si="7"/>
        <v>6935232.75</v>
      </c>
      <c r="T14" s="4">
        <f t="shared" si="7"/>
        <v>1322263.8399999999</v>
      </c>
      <c r="U14" s="4">
        <f t="shared" si="7"/>
        <v>45576</v>
      </c>
      <c r="V14" s="4">
        <f t="shared" si="7"/>
        <v>11957979.140000001</v>
      </c>
      <c r="W14" s="4">
        <f t="shared" si="7"/>
        <v>20261051.729999997</v>
      </c>
      <c r="X14" s="27" t="e">
        <f t="shared" si="7"/>
        <v>#REF!</v>
      </c>
    </row>
    <row r="15" spans="1:24" s="20" customFormat="1">
      <c r="A15" s="55">
        <v>12</v>
      </c>
      <c r="B15" s="36" t="s">
        <v>30</v>
      </c>
      <c r="C15" s="56" t="s">
        <v>31</v>
      </c>
      <c r="D15" s="2">
        <v>314084.79999999993</v>
      </c>
      <c r="E15" s="2">
        <v>662060.54</v>
      </c>
      <c r="F15" s="2">
        <v>2000</v>
      </c>
      <c r="G15" s="2">
        <v>0</v>
      </c>
      <c r="H15" s="2">
        <v>0</v>
      </c>
      <c r="I15" s="2">
        <v>0</v>
      </c>
      <c r="J15" s="2">
        <f>D15+E15-F15-G15-H15-I15</f>
        <v>974145.34</v>
      </c>
      <c r="K15" s="2">
        <v>604931.04</v>
      </c>
      <c r="L15" s="2">
        <v>1083018.3</v>
      </c>
      <c r="M15" s="2">
        <f>L15-N15</f>
        <v>1083018.3</v>
      </c>
      <c r="N15" s="2">
        <v>0</v>
      </c>
      <c r="O15" s="2">
        <f>M15-P15</f>
        <v>405937.30000000005</v>
      </c>
      <c r="P15" s="2">
        <v>677081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302540</v>
      </c>
      <c r="W15" s="2">
        <f t="shared" ref="W15:W22" si="8">S15+T15+U15+V15</f>
        <v>302540</v>
      </c>
      <c r="X15" s="25" t="e">
        <f>#REF!-Q15</f>
        <v>#REF!</v>
      </c>
    </row>
    <row r="16" spans="1:24" s="20" customFormat="1">
      <c r="A16" s="64">
        <v>13</v>
      </c>
      <c r="B16" s="3" t="s">
        <v>32</v>
      </c>
      <c r="C16" s="63" t="s">
        <v>33</v>
      </c>
      <c r="D16" s="4">
        <f t="shared" ref="D16:X16" si="9">D15</f>
        <v>314084.79999999993</v>
      </c>
      <c r="E16" s="4">
        <f t="shared" si="9"/>
        <v>662060.54</v>
      </c>
      <c r="F16" s="4">
        <f t="shared" si="9"/>
        <v>2000</v>
      </c>
      <c r="G16" s="4">
        <f t="shared" si="9"/>
        <v>0</v>
      </c>
      <c r="H16" s="4">
        <f t="shared" si="9"/>
        <v>0</v>
      </c>
      <c r="I16" s="4">
        <f t="shared" si="9"/>
        <v>0</v>
      </c>
      <c r="J16" s="4">
        <f t="shared" si="9"/>
        <v>974145.34</v>
      </c>
      <c r="K16" s="4">
        <f t="shared" si="9"/>
        <v>604931.04</v>
      </c>
      <c r="L16" s="4">
        <f t="shared" si="9"/>
        <v>1083018.3</v>
      </c>
      <c r="M16" s="4">
        <f t="shared" si="9"/>
        <v>1083018.3</v>
      </c>
      <c r="N16" s="4">
        <f t="shared" si="9"/>
        <v>0</v>
      </c>
      <c r="O16" s="4">
        <f t="shared" si="9"/>
        <v>405937.30000000005</v>
      </c>
      <c r="P16" s="4">
        <f t="shared" si="9"/>
        <v>677081</v>
      </c>
      <c r="Q16" s="4">
        <f t="shared" si="9"/>
        <v>0</v>
      </c>
      <c r="R16" s="4">
        <f>R15</f>
        <v>0</v>
      </c>
      <c r="S16" s="4">
        <f>S15</f>
        <v>0</v>
      </c>
      <c r="T16" s="4">
        <f>T15</f>
        <v>0</v>
      </c>
      <c r="U16" s="4">
        <f t="shared" si="9"/>
        <v>0</v>
      </c>
      <c r="V16" s="4">
        <f t="shared" si="9"/>
        <v>302540</v>
      </c>
      <c r="W16" s="4">
        <f t="shared" si="9"/>
        <v>302540</v>
      </c>
      <c r="X16" s="27" t="e">
        <f t="shared" si="9"/>
        <v>#REF!</v>
      </c>
    </row>
    <row r="17" spans="1:24" s="20" customFormat="1">
      <c r="A17" s="55">
        <v>14</v>
      </c>
      <c r="B17" s="36" t="s">
        <v>34</v>
      </c>
      <c r="C17" s="56" t="s">
        <v>35</v>
      </c>
      <c r="D17" s="2">
        <v>1843521.0400000003</v>
      </c>
      <c r="E17" s="2">
        <v>1318347.6499999999</v>
      </c>
      <c r="F17" s="2">
        <v>132720.01</v>
      </c>
      <c r="G17" s="2">
        <v>5577.89</v>
      </c>
      <c r="H17" s="2">
        <v>0</v>
      </c>
      <c r="I17" s="2">
        <v>0</v>
      </c>
      <c r="J17" s="2">
        <f>D17+E17-F17-G17-H17-I17</f>
        <v>3023570.7900000005</v>
      </c>
      <c r="K17" s="2">
        <v>1247934.96</v>
      </c>
      <c r="L17" s="2">
        <v>1937983.56</v>
      </c>
      <c r="M17" s="2">
        <f t="shared" ref="M17:M20" si="10">L17-N17</f>
        <v>1937983.56</v>
      </c>
      <c r="N17" s="2">
        <v>0</v>
      </c>
      <c r="O17" s="2">
        <f>M17-P17</f>
        <v>1774383.35</v>
      </c>
      <c r="P17" s="2">
        <v>163600.21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1363167.71</v>
      </c>
      <c r="W17" s="2">
        <f t="shared" si="8"/>
        <v>1363167.71</v>
      </c>
      <c r="X17" s="25" t="e">
        <f>#REF!-Q17</f>
        <v>#REF!</v>
      </c>
    </row>
    <row r="18" spans="1:24" s="20" customFormat="1">
      <c r="A18" s="55">
        <v>15</v>
      </c>
      <c r="B18" s="37" t="s">
        <v>36</v>
      </c>
      <c r="C18" s="56" t="s">
        <v>37</v>
      </c>
      <c r="D18" s="2">
        <v>724303.0199999999</v>
      </c>
      <c r="E18" s="2">
        <v>179526.81</v>
      </c>
      <c r="F18" s="2">
        <v>197740.77</v>
      </c>
      <c r="G18" s="2">
        <v>0</v>
      </c>
      <c r="H18" s="2">
        <v>0</v>
      </c>
      <c r="I18" s="2">
        <v>0</v>
      </c>
      <c r="J18" s="2">
        <f>D18+E18-F18-G18-H18-I18</f>
        <v>706089.05999999982</v>
      </c>
      <c r="K18" s="2">
        <v>64735.74</v>
      </c>
      <c r="L18" s="2">
        <v>501948.57</v>
      </c>
      <c r="M18" s="2">
        <f t="shared" si="10"/>
        <v>501948.57</v>
      </c>
      <c r="N18" s="2">
        <v>0</v>
      </c>
      <c r="O18" s="2">
        <f>M18-P18</f>
        <v>501948.57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343101.06</v>
      </c>
      <c r="W18" s="2">
        <f>S18+T18+U18+V18</f>
        <v>343101.06</v>
      </c>
      <c r="X18" s="25" t="e">
        <f>#REF!-Q18</f>
        <v>#REF!</v>
      </c>
    </row>
    <row r="19" spans="1:24" s="20" customFormat="1">
      <c r="A19" s="55">
        <v>16</v>
      </c>
      <c r="B19" s="36" t="s">
        <v>38</v>
      </c>
      <c r="C19" s="57" t="s">
        <v>39</v>
      </c>
      <c r="D19" s="5">
        <v>13777090.26</v>
      </c>
      <c r="E19" s="5">
        <v>30012846.82</v>
      </c>
      <c r="F19" s="5">
        <v>349348.37</v>
      </c>
      <c r="G19" s="5">
        <v>176536.53</v>
      </c>
      <c r="H19" s="5">
        <v>3440.49</v>
      </c>
      <c r="I19" s="5">
        <v>123.11</v>
      </c>
      <c r="J19" s="2">
        <f>D19+E19-F19-G19-H19-I19</f>
        <v>43260488.579999998</v>
      </c>
      <c r="K19" s="5">
        <v>29432387.850000001</v>
      </c>
      <c r="L19" s="2">
        <f>16027280.34+1545957.92</f>
        <v>17573238.259999998</v>
      </c>
      <c r="M19" s="2">
        <f t="shared" si="10"/>
        <v>16027280.339999998</v>
      </c>
      <c r="N19" s="5">
        <v>1545957.92</v>
      </c>
      <c r="O19" s="2">
        <f>M19-P19</f>
        <v>12898875.849999998</v>
      </c>
      <c r="P19" s="5">
        <f>4674362.41-N19</f>
        <v>3128404.49</v>
      </c>
      <c r="Q19" s="5">
        <v>0</v>
      </c>
      <c r="R19" s="5">
        <v>1281669.54</v>
      </c>
      <c r="S19" s="5">
        <v>1263837.17</v>
      </c>
      <c r="T19" s="5">
        <v>941872.47</v>
      </c>
      <c r="U19" s="5">
        <v>45576</v>
      </c>
      <c r="V19" s="5">
        <v>9405390.7200000007</v>
      </c>
      <c r="W19" s="2">
        <f t="shared" si="8"/>
        <v>11656676.359999999</v>
      </c>
      <c r="X19" s="25" t="e">
        <f>#REF!-Q19</f>
        <v>#REF!</v>
      </c>
    </row>
    <row r="20" spans="1:24" s="20" customFormat="1">
      <c r="A20" s="55">
        <v>17</v>
      </c>
      <c r="B20" s="36" t="s">
        <v>40</v>
      </c>
      <c r="C20" s="57" t="s">
        <v>96</v>
      </c>
      <c r="D20" s="6">
        <v>243364.1799999997</v>
      </c>
      <c r="E20" s="6">
        <v>400094.09</v>
      </c>
      <c r="F20" s="6">
        <v>0</v>
      </c>
      <c r="G20" s="6">
        <v>0</v>
      </c>
      <c r="H20" s="6">
        <v>0</v>
      </c>
      <c r="I20" s="6">
        <v>0</v>
      </c>
      <c r="J20" s="2">
        <f>D20+E20-F20-G20-H20-I20</f>
        <v>643458.26999999979</v>
      </c>
      <c r="K20" s="6">
        <v>449121.45</v>
      </c>
      <c r="L20" s="2">
        <v>168832.17</v>
      </c>
      <c r="M20" s="2">
        <f t="shared" si="10"/>
        <v>168832.17</v>
      </c>
      <c r="N20" s="6">
        <v>0</v>
      </c>
      <c r="O20" s="2">
        <v>168832.17</v>
      </c>
      <c r="P20" s="6">
        <v>0</v>
      </c>
      <c r="Q20" s="6"/>
      <c r="R20" s="6">
        <v>49156.959999999999</v>
      </c>
      <c r="S20" s="6">
        <v>27056.65</v>
      </c>
      <c r="T20" s="6">
        <v>27747.62</v>
      </c>
      <c r="U20" s="6">
        <v>0</v>
      </c>
      <c r="V20" s="6">
        <v>101544.51</v>
      </c>
      <c r="W20" s="2">
        <f t="shared" si="8"/>
        <v>156348.78</v>
      </c>
      <c r="X20" s="25" t="e">
        <f>#REF!-Q20</f>
        <v>#REF!</v>
      </c>
    </row>
    <row r="21" spans="1:24" s="20" customFormat="1">
      <c r="A21" s="64">
        <v>18</v>
      </c>
      <c r="B21" s="3" t="s">
        <v>41</v>
      </c>
      <c r="C21" s="63" t="s">
        <v>42</v>
      </c>
      <c r="D21" s="4">
        <f t="shared" ref="D21:X21" si="11">SUM(D17:D20)</f>
        <v>16588278.5</v>
      </c>
      <c r="E21" s="4">
        <f t="shared" si="11"/>
        <v>31910815.370000001</v>
      </c>
      <c r="F21" s="4">
        <f>SUM(F17:F20)</f>
        <v>679809.15</v>
      </c>
      <c r="G21" s="4">
        <f t="shared" si="11"/>
        <v>182114.42</v>
      </c>
      <c r="H21" s="4">
        <f>SUM(H17:H20)</f>
        <v>3440.49</v>
      </c>
      <c r="I21" s="4">
        <f t="shared" si="11"/>
        <v>123.11</v>
      </c>
      <c r="J21" s="4">
        <f t="shared" si="11"/>
        <v>47633606.700000003</v>
      </c>
      <c r="K21" s="4">
        <f t="shared" si="11"/>
        <v>31194180</v>
      </c>
      <c r="L21" s="4">
        <f>SUM(L17:L20)</f>
        <v>20182002.559999999</v>
      </c>
      <c r="M21" s="4">
        <f t="shared" si="11"/>
        <v>18636044.640000001</v>
      </c>
      <c r="N21" s="4">
        <f t="shared" si="11"/>
        <v>1545957.92</v>
      </c>
      <c r="O21" s="4">
        <f t="shared" si="11"/>
        <v>15344039.939999998</v>
      </c>
      <c r="P21" s="4">
        <f t="shared" si="11"/>
        <v>3292004.7</v>
      </c>
      <c r="Q21" s="4">
        <f t="shared" si="11"/>
        <v>0</v>
      </c>
      <c r="R21" s="4">
        <f t="shared" si="11"/>
        <v>1330826.5</v>
      </c>
      <c r="S21" s="4">
        <f t="shared" si="11"/>
        <v>1290893.8199999998</v>
      </c>
      <c r="T21" s="4">
        <f t="shared" si="11"/>
        <v>969620.09</v>
      </c>
      <c r="U21" s="4">
        <f t="shared" si="11"/>
        <v>45576</v>
      </c>
      <c r="V21" s="4">
        <f t="shared" si="11"/>
        <v>11213204</v>
      </c>
      <c r="W21" s="4">
        <f t="shared" si="11"/>
        <v>13519293.909999998</v>
      </c>
      <c r="X21" s="27" t="e">
        <f t="shared" si="11"/>
        <v>#REF!</v>
      </c>
    </row>
    <row r="22" spans="1:24" s="47" customFormat="1" ht="30.75" customHeight="1">
      <c r="A22" s="65" t="s">
        <v>123</v>
      </c>
      <c r="B22" s="66" t="s">
        <v>43</v>
      </c>
      <c r="C22" s="67" t="s">
        <v>44</v>
      </c>
      <c r="D22" s="68">
        <v>10215005.99</v>
      </c>
      <c r="E22" s="68">
        <v>0</v>
      </c>
      <c r="F22" s="68">
        <v>50000</v>
      </c>
      <c r="G22" s="68">
        <v>0</v>
      </c>
      <c r="H22" s="68">
        <v>0</v>
      </c>
      <c r="I22" s="68">
        <v>0</v>
      </c>
      <c r="J22" s="68">
        <f t="shared" ref="J22" si="12">D22+E22-F22-G22</f>
        <v>10165005.99</v>
      </c>
      <c r="K22" s="68">
        <v>0</v>
      </c>
      <c r="L22" s="68">
        <f t="shared" ref="L22" si="13">J22-K22</f>
        <v>10165005.99</v>
      </c>
      <c r="M22" s="68">
        <f t="shared" ref="M22:M24" si="14">L22-N22</f>
        <v>8915005.9900000002</v>
      </c>
      <c r="N22" s="68">
        <v>1250000</v>
      </c>
      <c r="O22" s="69">
        <f t="shared" ref="O22:O24" si="15">M22-P22</f>
        <v>8915005.9900000002</v>
      </c>
      <c r="P22" s="68">
        <v>0</v>
      </c>
      <c r="Q22" s="68">
        <v>0</v>
      </c>
      <c r="R22" s="68">
        <v>0</v>
      </c>
      <c r="S22" s="68">
        <v>5550000</v>
      </c>
      <c r="T22" s="68">
        <v>210000</v>
      </c>
      <c r="U22" s="68">
        <v>0</v>
      </c>
      <c r="V22" s="68">
        <f>59813.51</f>
        <v>59813.51</v>
      </c>
      <c r="W22" s="69">
        <f t="shared" si="8"/>
        <v>5819813.5099999998</v>
      </c>
      <c r="X22" s="46" t="e">
        <f>#REF!-Q22</f>
        <v>#REF!</v>
      </c>
    </row>
    <row r="23" spans="1:24" s="20" customFormat="1">
      <c r="A23" s="55">
        <v>20</v>
      </c>
      <c r="B23" s="37" t="s">
        <v>45</v>
      </c>
      <c r="C23" s="56" t="s">
        <v>107</v>
      </c>
      <c r="D23" s="6">
        <v>631549.39999999921</v>
      </c>
      <c r="E23" s="6">
        <f>2585334.58+421032.93</f>
        <v>3006367.5100000002</v>
      </c>
      <c r="F23" s="6">
        <v>200351.88</v>
      </c>
      <c r="G23" s="6">
        <v>0</v>
      </c>
      <c r="H23" s="6">
        <v>16416.27</v>
      </c>
      <c r="I23" s="6">
        <v>2362.61</v>
      </c>
      <c r="J23" s="2">
        <f>D23+E23-F23-G23-H23-I23</f>
        <v>3418786.1499999994</v>
      </c>
      <c r="K23" s="2">
        <v>2464339.7799999998</v>
      </c>
      <c r="L23" s="2">
        <f>974038.65+9758.7</f>
        <v>983797.35</v>
      </c>
      <c r="M23" s="2">
        <f t="shared" si="14"/>
        <v>974038.65</v>
      </c>
      <c r="N23" s="2">
        <v>9758.7000000000007</v>
      </c>
      <c r="O23" s="2">
        <f t="shared" si="15"/>
        <v>695302.38000000012</v>
      </c>
      <c r="P23" s="2">
        <f>288494.97-N23</f>
        <v>278736.26999999996</v>
      </c>
      <c r="Q23" s="2">
        <v>0</v>
      </c>
      <c r="R23" s="2">
        <v>108058.33</v>
      </c>
      <c r="S23" s="2">
        <v>94338.93</v>
      </c>
      <c r="T23" s="2">
        <v>142643.75</v>
      </c>
      <c r="U23" s="2">
        <v>0</v>
      </c>
      <c r="V23" s="2">
        <v>382421.63</v>
      </c>
      <c r="W23" s="2">
        <f>S23+T23+U23+V23</f>
        <v>619404.31000000006</v>
      </c>
      <c r="X23" s="25" t="e">
        <f>#REF!-Q23</f>
        <v>#REF!</v>
      </c>
    </row>
    <row r="24" spans="1:24" s="20" customFormat="1">
      <c r="A24" s="55">
        <v>21</v>
      </c>
      <c r="B24" s="37" t="s">
        <v>46</v>
      </c>
      <c r="C24" s="57" t="s">
        <v>47</v>
      </c>
      <c r="D24" s="6">
        <v>81683.710000000196</v>
      </c>
      <c r="E24" s="6">
        <f>685334.24+52581.97</f>
        <v>737916.21</v>
      </c>
      <c r="F24" s="6">
        <v>0</v>
      </c>
      <c r="G24" s="6">
        <v>0</v>
      </c>
      <c r="H24" s="6">
        <v>0</v>
      </c>
      <c r="I24" s="6">
        <v>0</v>
      </c>
      <c r="J24" s="2">
        <f>D24+E24-F24-G24</f>
        <v>819599.92000000016</v>
      </c>
      <c r="K24" s="6">
        <v>755740.65</v>
      </c>
      <c r="L24" s="2">
        <v>89284.26</v>
      </c>
      <c r="M24" s="2">
        <f t="shared" si="14"/>
        <v>89284.26</v>
      </c>
      <c r="N24" s="6">
        <v>0</v>
      </c>
      <c r="O24" s="2">
        <f t="shared" si="15"/>
        <v>56920.479999999996</v>
      </c>
      <c r="P24" s="6">
        <v>32363.78</v>
      </c>
      <c r="Q24" s="6">
        <v>0</v>
      </c>
      <c r="R24" s="6">
        <v>3871.6</v>
      </c>
      <c r="S24" s="6">
        <v>0</v>
      </c>
      <c r="T24" s="6">
        <v>0</v>
      </c>
      <c r="U24" s="6">
        <v>0</v>
      </c>
      <c r="V24" s="6">
        <v>0</v>
      </c>
      <c r="W24" s="2">
        <f>S24+T24+U24+V24</f>
        <v>0</v>
      </c>
      <c r="X24" s="25" t="e">
        <f>#REF!-Q24</f>
        <v>#REF!</v>
      </c>
    </row>
    <row r="25" spans="1:24" s="22" customFormat="1" ht="25.5">
      <c r="A25" s="64">
        <v>22</v>
      </c>
      <c r="B25" s="9" t="s">
        <v>48</v>
      </c>
      <c r="C25" s="63" t="s">
        <v>49</v>
      </c>
      <c r="D25" s="8">
        <f t="shared" ref="D25:X25" si="16">SUM(D23:D24)</f>
        <v>713233.1099999994</v>
      </c>
      <c r="E25" s="8">
        <f t="shared" si="16"/>
        <v>3744283.72</v>
      </c>
      <c r="F25" s="8">
        <f t="shared" si="16"/>
        <v>200351.88</v>
      </c>
      <c r="G25" s="8">
        <f t="shared" si="16"/>
        <v>0</v>
      </c>
      <c r="H25" s="8">
        <f t="shared" si="16"/>
        <v>16416.27</v>
      </c>
      <c r="I25" s="8">
        <f t="shared" si="16"/>
        <v>2362.61</v>
      </c>
      <c r="J25" s="8">
        <f t="shared" si="16"/>
        <v>4238386.0699999994</v>
      </c>
      <c r="K25" s="8">
        <f t="shared" si="16"/>
        <v>3220080.4299999997</v>
      </c>
      <c r="L25" s="8">
        <f t="shared" si="16"/>
        <v>1073081.6099999999</v>
      </c>
      <c r="M25" s="8">
        <f t="shared" si="16"/>
        <v>1063322.9099999999</v>
      </c>
      <c r="N25" s="8">
        <f t="shared" si="16"/>
        <v>9758.7000000000007</v>
      </c>
      <c r="O25" s="8">
        <f t="shared" si="16"/>
        <v>752222.8600000001</v>
      </c>
      <c r="P25" s="8">
        <f t="shared" si="16"/>
        <v>311100.04999999993</v>
      </c>
      <c r="Q25" s="8">
        <f t="shared" si="16"/>
        <v>0</v>
      </c>
      <c r="R25" s="8">
        <f t="shared" si="16"/>
        <v>111929.93000000001</v>
      </c>
      <c r="S25" s="8">
        <f t="shared" si="16"/>
        <v>94338.93</v>
      </c>
      <c r="T25" s="8">
        <f t="shared" si="16"/>
        <v>142643.75</v>
      </c>
      <c r="U25" s="8">
        <f t="shared" si="16"/>
        <v>0</v>
      </c>
      <c r="V25" s="8">
        <f t="shared" si="16"/>
        <v>382421.63</v>
      </c>
      <c r="W25" s="8">
        <f t="shared" si="16"/>
        <v>619404.31000000006</v>
      </c>
      <c r="X25" s="29" t="e">
        <f t="shared" si="16"/>
        <v>#REF!</v>
      </c>
    </row>
    <row r="26" spans="1:24" s="21" customFormat="1" ht="30.75" customHeight="1">
      <c r="A26" s="70">
        <v>23</v>
      </c>
      <c r="B26" s="71" t="s">
        <v>50</v>
      </c>
      <c r="C26" s="60" t="s">
        <v>51</v>
      </c>
      <c r="D26" s="72">
        <f t="shared" ref="D26:X26" si="17">D13+D14</f>
        <v>30497823.68</v>
      </c>
      <c r="E26" s="72">
        <f t="shared" si="17"/>
        <v>38719353.630000003</v>
      </c>
      <c r="F26" s="72">
        <f>F13+F14</f>
        <v>932161.03</v>
      </c>
      <c r="G26" s="72">
        <f t="shared" si="17"/>
        <v>182114.42</v>
      </c>
      <c r="H26" s="72">
        <f t="shared" si="17"/>
        <v>19856.760000000002</v>
      </c>
      <c r="I26" s="72">
        <f t="shared" si="17"/>
        <v>2485.7200000000003</v>
      </c>
      <c r="J26" s="72">
        <f t="shared" si="17"/>
        <v>68080559.38000001</v>
      </c>
      <c r="K26" s="72">
        <f t="shared" si="17"/>
        <v>36340584.629999995</v>
      </c>
      <c r="L26" s="72">
        <f t="shared" si="17"/>
        <v>36251130.579999998</v>
      </c>
      <c r="M26" s="72">
        <f t="shared" si="17"/>
        <v>32012593.52</v>
      </c>
      <c r="N26" s="72">
        <f t="shared" si="17"/>
        <v>4238537.0600000005</v>
      </c>
      <c r="O26" s="72">
        <f t="shared" si="17"/>
        <v>27707671.369999997</v>
      </c>
      <c r="P26" s="72">
        <f t="shared" si="17"/>
        <v>4304922.1500000004</v>
      </c>
      <c r="Q26" s="72">
        <f t="shared" si="17"/>
        <v>0</v>
      </c>
      <c r="R26" s="72">
        <f t="shared" si="17"/>
        <v>1442756.43</v>
      </c>
      <c r="S26" s="72">
        <f t="shared" si="17"/>
        <v>8195262.4000000004</v>
      </c>
      <c r="T26" s="72">
        <f t="shared" si="17"/>
        <v>1322263.8399999999</v>
      </c>
      <c r="U26" s="72">
        <f t="shared" si="17"/>
        <v>45576</v>
      </c>
      <c r="V26" s="72">
        <f t="shared" si="17"/>
        <v>12565724.33</v>
      </c>
      <c r="W26" s="72">
        <f t="shared" si="17"/>
        <v>22128826.569999997</v>
      </c>
      <c r="X26" s="30" t="e">
        <f t="shared" si="17"/>
        <v>#REF!</v>
      </c>
    </row>
    <row r="27" spans="1:24" s="20" customFormat="1">
      <c r="A27" s="55">
        <v>24</v>
      </c>
      <c r="B27" s="37" t="s">
        <v>52</v>
      </c>
      <c r="C27" s="73" t="s">
        <v>53</v>
      </c>
      <c r="D27" s="38">
        <v>1936030.6299999997</v>
      </c>
      <c r="E27" s="38">
        <v>3484773.54</v>
      </c>
      <c r="F27" s="38">
        <v>0</v>
      </c>
      <c r="G27" s="38">
        <v>0</v>
      </c>
      <c r="H27" s="38">
        <v>0</v>
      </c>
      <c r="I27" s="38">
        <v>0</v>
      </c>
      <c r="J27" s="2">
        <f>D27+E27-F27-G27</f>
        <v>5420804.1699999999</v>
      </c>
      <c r="K27" s="38">
        <v>544130.46</v>
      </c>
      <c r="L27" s="2">
        <v>4583291.51</v>
      </c>
      <c r="M27" s="2">
        <f>L27-N27</f>
        <v>0</v>
      </c>
      <c r="N27" s="2">
        <f>L27</f>
        <v>4583291.51</v>
      </c>
      <c r="O27" s="2">
        <v>0</v>
      </c>
      <c r="P27" s="2">
        <v>0</v>
      </c>
      <c r="Q27" s="2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2">
        <f t="shared" ref="W27:W34" si="18">S27+T27+U27+V27</f>
        <v>0</v>
      </c>
      <c r="X27" s="25" t="e">
        <f>#REF!-Q27</f>
        <v>#REF!</v>
      </c>
    </row>
    <row r="28" spans="1:24" s="20" customFormat="1">
      <c r="A28" s="55">
        <v>25</v>
      </c>
      <c r="B28" s="37" t="s">
        <v>54</v>
      </c>
      <c r="C28" s="73" t="s">
        <v>55</v>
      </c>
      <c r="D28" s="38">
        <v>5264.3899999999849</v>
      </c>
      <c r="E28" s="38">
        <v>152055.79</v>
      </c>
      <c r="F28" s="38">
        <v>0</v>
      </c>
      <c r="G28" s="38">
        <v>0</v>
      </c>
      <c r="H28" s="38">
        <v>0</v>
      </c>
      <c r="I28" s="38">
        <v>0</v>
      </c>
      <c r="J28" s="2">
        <f>D28+E28-F28-G28</f>
        <v>157320.18</v>
      </c>
      <c r="K28" s="38">
        <v>157320.18</v>
      </c>
      <c r="L28" s="2">
        <f>J28-K28</f>
        <v>0</v>
      </c>
      <c r="M28" s="2">
        <f>L28-N28</f>
        <v>0</v>
      </c>
      <c r="N28" s="38">
        <v>0</v>
      </c>
      <c r="O28" s="2">
        <f>M28-P28</f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2">
        <f t="shared" si="18"/>
        <v>0</v>
      </c>
      <c r="X28" s="25" t="e">
        <f>#REF!-Q28</f>
        <v>#REF!</v>
      </c>
    </row>
    <row r="29" spans="1:24" s="20" customFormat="1">
      <c r="A29" s="55">
        <v>26</v>
      </c>
      <c r="B29" s="37" t="s">
        <v>56</v>
      </c>
      <c r="C29" s="73" t="s">
        <v>92</v>
      </c>
      <c r="D29" s="38">
        <v>2335599.7699999996</v>
      </c>
      <c r="E29" s="38">
        <f>4461399.73+F29</f>
        <v>4809181.25</v>
      </c>
      <c r="F29" s="38">
        <v>347781.52</v>
      </c>
      <c r="G29" s="38">
        <v>0</v>
      </c>
      <c r="H29" s="38">
        <v>0</v>
      </c>
      <c r="I29" s="38">
        <v>0</v>
      </c>
      <c r="J29" s="5">
        <f>D29+E29-F29-G29</f>
        <v>6796999.5</v>
      </c>
      <c r="K29" s="38">
        <v>4777342.33</v>
      </c>
      <c r="L29" s="5">
        <f>M29</f>
        <v>2287310.3199999998</v>
      </c>
      <c r="M29" s="5">
        <v>2287310.3199999998</v>
      </c>
      <c r="N29" s="38">
        <v>0</v>
      </c>
      <c r="O29" s="5">
        <f t="shared" ref="O29:O30" si="19">M29-P29</f>
        <v>685815.95999999973</v>
      </c>
      <c r="P29" s="38">
        <v>1601494.36</v>
      </c>
      <c r="Q29" s="38"/>
      <c r="R29" s="38">
        <v>1109379.68</v>
      </c>
      <c r="S29" s="38">
        <v>36212.83</v>
      </c>
      <c r="T29" s="38">
        <v>3886.81</v>
      </c>
      <c r="U29" s="38">
        <v>0</v>
      </c>
      <c r="V29" s="38">
        <v>710667.03</v>
      </c>
      <c r="W29" s="2">
        <f t="shared" si="18"/>
        <v>750766.67</v>
      </c>
      <c r="X29" s="25" t="e">
        <f>#REF!-Q29</f>
        <v>#REF!</v>
      </c>
    </row>
    <row r="30" spans="1:24" s="20" customFormat="1">
      <c r="A30" s="55">
        <v>27</v>
      </c>
      <c r="B30" s="37" t="s">
        <v>57</v>
      </c>
      <c r="C30" s="73" t="s">
        <v>93</v>
      </c>
      <c r="D30" s="38">
        <v>4623010.2499999953</v>
      </c>
      <c r="E30" s="38">
        <f>6903146+F30</f>
        <v>7289158.8899999997</v>
      </c>
      <c r="F30" s="38">
        <v>386012.89</v>
      </c>
      <c r="G30" s="38">
        <v>0</v>
      </c>
      <c r="H30" s="38">
        <v>0</v>
      </c>
      <c r="I30" s="38">
        <v>0</v>
      </c>
      <c r="J30" s="5">
        <f>D30+E30-F30-G30-H30-I30</f>
        <v>11526156.249999994</v>
      </c>
      <c r="K30" s="38">
        <v>6284002.1799999997</v>
      </c>
      <c r="L30" s="5">
        <f>M30</f>
        <v>7093128.2599999998</v>
      </c>
      <c r="M30" s="5">
        <v>7093128.2599999998</v>
      </c>
      <c r="N30" s="38">
        <v>0</v>
      </c>
      <c r="O30" s="5">
        <f t="shared" si="19"/>
        <v>5491633.8999999994</v>
      </c>
      <c r="P30" s="38">
        <v>1601494.36</v>
      </c>
      <c r="Q30" s="38"/>
      <c r="R30" s="38">
        <v>0</v>
      </c>
      <c r="S30" s="38">
        <v>1817388.64</v>
      </c>
      <c r="T30" s="38">
        <v>1643198.65</v>
      </c>
      <c r="U30" s="38">
        <v>0</v>
      </c>
      <c r="V30" s="38">
        <v>1611607.15</v>
      </c>
      <c r="W30" s="2">
        <f t="shared" si="18"/>
        <v>5072194.4399999995</v>
      </c>
      <c r="X30" s="25" t="e">
        <f>#REF!-Q30</f>
        <v>#REF!</v>
      </c>
    </row>
    <row r="31" spans="1:24" s="20" customFormat="1">
      <c r="A31" s="64">
        <v>28</v>
      </c>
      <c r="B31" s="9" t="s">
        <v>58</v>
      </c>
      <c r="C31" s="63" t="s">
        <v>59</v>
      </c>
      <c r="D31" s="8">
        <f t="shared" ref="D31:I31" si="20">SUM(D27:D30)</f>
        <v>8899905.0399999954</v>
      </c>
      <c r="E31" s="8">
        <f t="shared" si="20"/>
        <v>15735169.469999999</v>
      </c>
      <c r="F31" s="8">
        <f t="shared" si="20"/>
        <v>733794.41</v>
      </c>
      <c r="G31" s="8">
        <f t="shared" si="20"/>
        <v>0</v>
      </c>
      <c r="H31" s="8">
        <f t="shared" si="20"/>
        <v>0</v>
      </c>
      <c r="I31" s="8">
        <f t="shared" si="20"/>
        <v>0</v>
      </c>
      <c r="J31" s="8">
        <f t="shared" ref="J31:X31" si="21">SUM(J27:J30)</f>
        <v>23901280.099999994</v>
      </c>
      <c r="K31" s="8">
        <f t="shared" si="21"/>
        <v>11762795.149999999</v>
      </c>
      <c r="L31" s="8">
        <f t="shared" si="21"/>
        <v>13963730.09</v>
      </c>
      <c r="M31" s="8">
        <f t="shared" si="21"/>
        <v>9380438.5800000001</v>
      </c>
      <c r="N31" s="8">
        <f>SUM(N27:N30)</f>
        <v>4583291.51</v>
      </c>
      <c r="O31" s="8">
        <f>SUM(O27:O30)</f>
        <v>6177449.8599999994</v>
      </c>
      <c r="P31" s="8">
        <f>SUM(P27:P30)</f>
        <v>3202988.72</v>
      </c>
      <c r="Q31" s="8">
        <f>SUM(Q27:Q30)</f>
        <v>0</v>
      </c>
      <c r="R31" s="8">
        <f t="shared" si="21"/>
        <v>1109379.68</v>
      </c>
      <c r="S31" s="8">
        <f t="shared" si="21"/>
        <v>1853601.47</v>
      </c>
      <c r="T31" s="8">
        <f t="shared" si="21"/>
        <v>1647085.46</v>
      </c>
      <c r="U31" s="8">
        <f t="shared" si="21"/>
        <v>0</v>
      </c>
      <c r="V31" s="8">
        <f t="shared" si="21"/>
        <v>2322274.1799999997</v>
      </c>
      <c r="W31" s="8">
        <f t="shared" si="21"/>
        <v>5822961.1099999994</v>
      </c>
      <c r="X31" s="29" t="e">
        <f t="shared" si="21"/>
        <v>#REF!</v>
      </c>
    </row>
    <row r="32" spans="1:24" s="20" customFormat="1">
      <c r="A32" s="55">
        <v>29</v>
      </c>
      <c r="B32" s="37" t="s">
        <v>60</v>
      </c>
      <c r="C32" s="57" t="s">
        <v>94</v>
      </c>
      <c r="D32" s="2">
        <v>661710.52000000025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f>D32+E32-F32-G32-H32-I32</f>
        <v>661710.52000000025</v>
      </c>
      <c r="K32" s="2">
        <v>0</v>
      </c>
      <c r="L32" s="2">
        <f>J32-K32</f>
        <v>661710.52000000025</v>
      </c>
      <c r="M32" s="2">
        <f>L32-N32</f>
        <v>661710.52000000025</v>
      </c>
      <c r="N32" s="2">
        <v>0</v>
      </c>
      <c r="O32" s="2">
        <f>M32-P32</f>
        <v>661710.52000000025</v>
      </c>
      <c r="P32" s="2">
        <v>0</v>
      </c>
      <c r="Q32" s="2">
        <v>0</v>
      </c>
      <c r="R32" s="2">
        <v>0</v>
      </c>
      <c r="S32" s="2">
        <v>659581.11</v>
      </c>
      <c r="T32" s="2">
        <v>0</v>
      </c>
      <c r="U32" s="2">
        <v>0</v>
      </c>
      <c r="V32" s="2">
        <f>632630.24-565531-42823-22146.83</f>
        <v>2129.4099999999889</v>
      </c>
      <c r="W32" s="2">
        <f t="shared" si="18"/>
        <v>661710.52</v>
      </c>
      <c r="X32" s="25" t="e">
        <f>#REF!-Q32</f>
        <v>#REF!</v>
      </c>
    </row>
    <row r="33" spans="1:24" s="20" customFormat="1">
      <c r="A33" s="55">
        <v>30</v>
      </c>
      <c r="B33" s="37" t="s">
        <v>61</v>
      </c>
      <c r="C33" s="56" t="s">
        <v>62</v>
      </c>
      <c r="D33" s="2">
        <v>29659397.060000002</v>
      </c>
      <c r="E33" s="2">
        <v>49491431.829999998</v>
      </c>
      <c r="F33" s="2">
        <v>1518879.1</v>
      </c>
      <c r="G33" s="2">
        <v>0</v>
      </c>
      <c r="H33" s="2">
        <v>53783.95</v>
      </c>
      <c r="I33" s="2">
        <v>902.21</v>
      </c>
      <c r="J33" s="2">
        <f>D33+E33-F33-G33-H33-I33</f>
        <v>77577263.63000001</v>
      </c>
      <c r="K33" s="2">
        <v>43000225.82</v>
      </c>
      <c r="L33" s="2">
        <f>39774938.01+3604725.19</f>
        <v>43379663.199999996</v>
      </c>
      <c r="M33" s="2">
        <f>L33-N33</f>
        <v>39774938.009999998</v>
      </c>
      <c r="N33" s="2">
        <v>3604725.19</v>
      </c>
      <c r="O33" s="2">
        <f>M33-P33</f>
        <v>35017936.369999997</v>
      </c>
      <c r="P33" s="2">
        <f>8361726.83-N33</f>
        <v>4757001.6400000006</v>
      </c>
      <c r="Q33" s="2">
        <v>0</v>
      </c>
      <c r="R33" s="2">
        <f>2532216.04+190951.01</f>
        <v>2723167.05</v>
      </c>
      <c r="S33" s="2">
        <f>96603.51+14239885.22</f>
        <v>14336488.73</v>
      </c>
      <c r="T33" s="2">
        <f>18735.72+6087532.82</f>
        <v>6106268.54</v>
      </c>
      <c r="U33" s="2">
        <v>0</v>
      </c>
      <c r="V33" s="2">
        <f>1691428.72+3125007.67</f>
        <v>4816436.3899999997</v>
      </c>
      <c r="W33" s="2">
        <f t="shared" si="18"/>
        <v>25259193.66</v>
      </c>
      <c r="X33" s="25" t="e">
        <f>#REF!-Q33</f>
        <v>#REF!</v>
      </c>
    </row>
    <row r="34" spans="1:24" s="20" customFormat="1">
      <c r="A34" s="55">
        <v>31</v>
      </c>
      <c r="B34" s="37" t="s">
        <v>63</v>
      </c>
      <c r="C34" s="56" t="s">
        <v>64</v>
      </c>
      <c r="D34" s="2">
        <v>7763849.3700000048</v>
      </c>
      <c r="E34" s="2">
        <f>15732340.82-523802</f>
        <v>15208538.82</v>
      </c>
      <c r="F34" s="2">
        <v>0</v>
      </c>
      <c r="G34" s="2">
        <v>0</v>
      </c>
      <c r="H34" s="2">
        <v>0</v>
      </c>
      <c r="I34" s="2">
        <v>0</v>
      </c>
      <c r="J34" s="2">
        <f>D34+E34-F34-G34-H34-I34</f>
        <v>22972388.190000005</v>
      </c>
      <c r="K34" s="2">
        <v>15385761.439999999</v>
      </c>
      <c r="L34" s="2">
        <v>11848334.810000001</v>
      </c>
      <c r="M34" s="2">
        <f>L34-N34</f>
        <v>8732829.8100000005</v>
      </c>
      <c r="N34" s="2">
        <v>3115505</v>
      </c>
      <c r="O34" s="2">
        <f>M34-P34</f>
        <v>5815366.2200000007</v>
      </c>
      <c r="P34" s="2">
        <v>2917463.59</v>
      </c>
      <c r="Q34" s="2">
        <v>0</v>
      </c>
      <c r="R34" s="2">
        <v>1924171.96</v>
      </c>
      <c r="S34" s="2">
        <v>1172063.3600000001</v>
      </c>
      <c r="T34" s="2">
        <v>245590.44</v>
      </c>
      <c r="U34" s="2">
        <v>0</v>
      </c>
      <c r="V34" s="2">
        <v>4508614.5</v>
      </c>
      <c r="W34" s="2">
        <f t="shared" si="18"/>
        <v>5926268.2999999998</v>
      </c>
      <c r="X34" s="25" t="e">
        <f>#REF!-Q34</f>
        <v>#REF!</v>
      </c>
    </row>
    <row r="35" spans="1:24" s="22" customFormat="1">
      <c r="A35" s="64">
        <v>32</v>
      </c>
      <c r="B35" s="9" t="s">
        <v>65</v>
      </c>
      <c r="C35" s="74" t="s">
        <v>66</v>
      </c>
      <c r="D35" s="7">
        <f t="shared" ref="D35:X35" si="22">SUM(D32:D34)</f>
        <v>38084956.950000003</v>
      </c>
      <c r="E35" s="7">
        <f t="shared" si="22"/>
        <v>64699970.649999999</v>
      </c>
      <c r="F35" s="7">
        <f t="shared" si="22"/>
        <v>1518879.1</v>
      </c>
      <c r="G35" s="7">
        <f t="shared" si="22"/>
        <v>0</v>
      </c>
      <c r="H35" s="7">
        <f t="shared" si="22"/>
        <v>53783.95</v>
      </c>
      <c r="I35" s="7">
        <f t="shared" si="22"/>
        <v>902.21</v>
      </c>
      <c r="J35" s="7">
        <f t="shared" si="22"/>
        <v>101211362.34</v>
      </c>
      <c r="K35" s="7">
        <f t="shared" si="22"/>
        <v>58385987.259999998</v>
      </c>
      <c r="L35" s="7">
        <f t="shared" si="22"/>
        <v>55889708.530000001</v>
      </c>
      <c r="M35" s="7">
        <f t="shared" si="22"/>
        <v>49169478.340000004</v>
      </c>
      <c r="N35" s="7">
        <f t="shared" si="22"/>
        <v>6720230.1899999995</v>
      </c>
      <c r="O35" s="7">
        <f t="shared" si="22"/>
        <v>41495013.109999999</v>
      </c>
      <c r="P35" s="7">
        <f t="shared" si="22"/>
        <v>7674465.2300000004</v>
      </c>
      <c r="Q35" s="7">
        <f t="shared" si="22"/>
        <v>0</v>
      </c>
      <c r="R35" s="7">
        <f t="shared" si="22"/>
        <v>4647339.01</v>
      </c>
      <c r="S35" s="7">
        <f t="shared" si="22"/>
        <v>16168133.199999999</v>
      </c>
      <c r="T35" s="7">
        <f t="shared" si="22"/>
        <v>6351858.9800000004</v>
      </c>
      <c r="U35" s="7">
        <f t="shared" si="22"/>
        <v>0</v>
      </c>
      <c r="V35" s="7">
        <f t="shared" si="22"/>
        <v>9327180.3000000007</v>
      </c>
      <c r="W35" s="7">
        <f t="shared" si="22"/>
        <v>31847172.48</v>
      </c>
      <c r="X35" s="31" t="e">
        <f t="shared" si="22"/>
        <v>#REF!</v>
      </c>
    </row>
    <row r="36" spans="1:24" s="21" customFormat="1" ht="30.75" customHeight="1">
      <c r="A36" s="70">
        <v>33</v>
      </c>
      <c r="B36" s="71" t="s">
        <v>67</v>
      </c>
      <c r="C36" s="60" t="s">
        <v>68</v>
      </c>
      <c r="D36" s="75" t="e">
        <f>#REF!+D31+D35</f>
        <v>#REF!</v>
      </c>
      <c r="E36" s="75" t="e">
        <f>#REF!+E31+E35</f>
        <v>#REF!</v>
      </c>
      <c r="F36" s="75" t="e">
        <f>#REF!+F31+F35</f>
        <v>#REF!</v>
      </c>
      <c r="G36" s="75" t="e">
        <f>#REF!+G31+G35</f>
        <v>#REF!</v>
      </c>
      <c r="H36" s="75" t="e">
        <f>#REF!+H31+H35</f>
        <v>#REF!</v>
      </c>
      <c r="I36" s="75" t="e">
        <f>#REF!+I31+I35</f>
        <v>#REF!</v>
      </c>
      <c r="J36" s="75" t="e">
        <f>#REF!+J31+J35</f>
        <v>#REF!</v>
      </c>
      <c r="K36" s="75" t="e">
        <f>#REF!+K31+K35</f>
        <v>#REF!</v>
      </c>
      <c r="L36" s="75">
        <f t="shared" ref="L36:W36" si="23">+L31+L35</f>
        <v>69853438.620000005</v>
      </c>
      <c r="M36" s="75">
        <f t="shared" si="23"/>
        <v>58549916.920000002</v>
      </c>
      <c r="N36" s="75">
        <f t="shared" si="23"/>
        <v>11303521.699999999</v>
      </c>
      <c r="O36" s="75">
        <f t="shared" si="23"/>
        <v>47672462.969999999</v>
      </c>
      <c r="P36" s="75">
        <f t="shared" si="23"/>
        <v>10877453.950000001</v>
      </c>
      <c r="Q36" s="75">
        <f t="shared" si="23"/>
        <v>0</v>
      </c>
      <c r="R36" s="75">
        <f t="shared" si="23"/>
        <v>5756718.6899999995</v>
      </c>
      <c r="S36" s="75">
        <f t="shared" si="23"/>
        <v>18021734.669999998</v>
      </c>
      <c r="T36" s="75">
        <f t="shared" si="23"/>
        <v>7998944.4400000004</v>
      </c>
      <c r="U36" s="75">
        <f t="shared" si="23"/>
        <v>0</v>
      </c>
      <c r="V36" s="75">
        <f t="shared" si="23"/>
        <v>11649454.48</v>
      </c>
      <c r="W36" s="75">
        <f t="shared" si="23"/>
        <v>37670133.590000004</v>
      </c>
      <c r="X36" s="32" t="e">
        <f>#REF!+X31+X35</f>
        <v>#REF!</v>
      </c>
    </row>
    <row r="37" spans="1:24" s="20" customFormat="1">
      <c r="A37" s="55">
        <v>34</v>
      </c>
      <c r="B37" s="37" t="s">
        <v>69</v>
      </c>
      <c r="C37" s="57" t="s">
        <v>70</v>
      </c>
      <c r="D37" s="5">
        <v>4197258.629999999</v>
      </c>
      <c r="E37" s="5">
        <f>1878440.83+F37</f>
        <v>3417870</v>
      </c>
      <c r="F37" s="38">
        <f>97854.42+80269.47+90841.79+91699.35+98931.56+133209.73+106896.71+214483.54+127023.72+154933.34+130802+212483.54</f>
        <v>1539429.1700000002</v>
      </c>
      <c r="G37" s="5">
        <v>0</v>
      </c>
      <c r="H37" s="5">
        <v>0</v>
      </c>
      <c r="I37" s="5">
        <v>0</v>
      </c>
      <c r="J37" s="2">
        <f t="shared" ref="J37:J42" si="24">D37+E37-F37-G37</f>
        <v>6075699.459999999</v>
      </c>
      <c r="K37" s="5">
        <v>1541036.48</v>
      </c>
      <c r="L37" s="2">
        <v>5052408.8099999996</v>
      </c>
      <c r="M37" s="2">
        <f>L37-N37</f>
        <v>5052408.8099999996</v>
      </c>
      <c r="N37" s="5">
        <v>0</v>
      </c>
      <c r="O37" s="2">
        <f t="shared" ref="O37:O42" si="25">M37-P37</f>
        <v>4231869.1899999995</v>
      </c>
      <c r="P37" s="5">
        <v>820539.62</v>
      </c>
      <c r="Q37" s="5">
        <v>0</v>
      </c>
      <c r="R37" s="5">
        <v>0</v>
      </c>
      <c r="S37" s="5"/>
      <c r="T37" s="5">
        <f>2658.42-291.68</f>
        <v>2366.7400000000002</v>
      </c>
      <c r="U37" s="5">
        <v>0</v>
      </c>
      <c r="V37" s="5">
        <f>959897.49+92800</f>
        <v>1052697.49</v>
      </c>
      <c r="W37" s="2">
        <f t="shared" ref="W37:W42" si="26">S37+T37+U37+V37</f>
        <v>1055064.23</v>
      </c>
      <c r="X37" s="25" t="e">
        <f>#REF!-Q37</f>
        <v>#REF!</v>
      </c>
    </row>
    <row r="38" spans="1:24" s="20" customFormat="1">
      <c r="A38" s="55">
        <v>35</v>
      </c>
      <c r="B38" s="37" t="s">
        <v>71</v>
      </c>
      <c r="C38" s="57" t="s">
        <v>95</v>
      </c>
      <c r="D38" s="5">
        <v>497919.48000000004</v>
      </c>
      <c r="E38" s="5">
        <v>38334.11</v>
      </c>
      <c r="F38" s="38">
        <f>133500.77+83567.09+9038.4+9058.36</f>
        <v>235164.62</v>
      </c>
      <c r="G38" s="5">
        <v>0</v>
      </c>
      <c r="H38" s="5">
        <v>0</v>
      </c>
      <c r="I38" s="5">
        <v>0</v>
      </c>
      <c r="J38" s="2">
        <f t="shared" si="24"/>
        <v>301088.97000000009</v>
      </c>
      <c r="K38" s="5">
        <v>47914.29</v>
      </c>
      <c r="L38" s="2">
        <v>221954.45</v>
      </c>
      <c r="M38" s="2">
        <f t="shared" ref="M38:M42" si="27">L38-N38</f>
        <v>221954.45</v>
      </c>
      <c r="N38" s="5">
        <v>0</v>
      </c>
      <c r="O38" s="2">
        <f t="shared" si="25"/>
        <v>221954.45</v>
      </c>
      <c r="P38" s="5">
        <v>0</v>
      </c>
      <c r="Q38" s="5"/>
      <c r="R38" s="5">
        <v>0</v>
      </c>
      <c r="S38" s="5">
        <v>0</v>
      </c>
      <c r="T38" s="5">
        <v>0</v>
      </c>
      <c r="U38" s="5">
        <v>0</v>
      </c>
      <c r="V38" s="5">
        <v>221954.45</v>
      </c>
      <c r="W38" s="2">
        <f t="shared" si="26"/>
        <v>221954.45</v>
      </c>
      <c r="X38" s="25" t="e">
        <f>#REF!-Q38</f>
        <v>#REF!</v>
      </c>
    </row>
    <row r="39" spans="1:24" s="20" customFormat="1">
      <c r="A39" s="55">
        <v>36</v>
      </c>
      <c r="B39" s="37" t="s">
        <v>72</v>
      </c>
      <c r="C39" s="57" t="s">
        <v>73</v>
      </c>
      <c r="D39" s="5">
        <v>6798.6499999999969</v>
      </c>
      <c r="E39" s="5">
        <f>3814.15+20480.77+200+174.76+250.62</f>
        <v>24920.3</v>
      </c>
      <c r="F39" s="38">
        <f>800+6048.11+3814.15+20480.77</f>
        <v>31143.03</v>
      </c>
      <c r="G39" s="5">
        <v>0</v>
      </c>
      <c r="H39" s="5">
        <v>0</v>
      </c>
      <c r="I39" s="5">
        <v>0</v>
      </c>
      <c r="J39" s="2">
        <f t="shared" si="24"/>
        <v>575.91999999999825</v>
      </c>
      <c r="K39" s="5">
        <v>425.38</v>
      </c>
      <c r="L39" s="2">
        <v>100</v>
      </c>
      <c r="M39" s="2">
        <f t="shared" si="27"/>
        <v>100</v>
      </c>
      <c r="N39" s="5">
        <v>0</v>
      </c>
      <c r="O39" s="2">
        <f t="shared" si="25"/>
        <v>100</v>
      </c>
      <c r="P39" s="5">
        <v>0</v>
      </c>
      <c r="Q39" s="5"/>
      <c r="R39" s="5">
        <v>0</v>
      </c>
      <c r="S39" s="5">
        <v>0</v>
      </c>
      <c r="T39" s="5">
        <v>0</v>
      </c>
      <c r="U39" s="5">
        <v>0</v>
      </c>
      <c r="V39" s="5">
        <v>100</v>
      </c>
      <c r="W39" s="2">
        <f t="shared" si="26"/>
        <v>100</v>
      </c>
      <c r="X39" s="25" t="e">
        <f>#REF!-Q39</f>
        <v>#REF!</v>
      </c>
    </row>
    <row r="40" spans="1:24" s="20" customFormat="1">
      <c r="A40" s="55">
        <v>37</v>
      </c>
      <c r="B40" s="37" t="s">
        <v>118</v>
      </c>
      <c r="C40" s="57" t="s">
        <v>119</v>
      </c>
      <c r="D40" s="5"/>
      <c r="E40" s="5"/>
      <c r="F40" s="38"/>
      <c r="G40" s="5"/>
      <c r="H40" s="5"/>
      <c r="I40" s="5"/>
      <c r="J40" s="2"/>
      <c r="K40" s="5"/>
      <c r="L40" s="2">
        <v>411472.4</v>
      </c>
      <c r="M40" s="2">
        <f t="shared" si="27"/>
        <v>411472.4</v>
      </c>
      <c r="N40" s="5">
        <v>0</v>
      </c>
      <c r="O40" s="2">
        <f t="shared" si="25"/>
        <v>411472.4</v>
      </c>
      <c r="P40" s="5">
        <v>0</v>
      </c>
      <c r="Q40" s="5"/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2">
        <f t="shared" si="26"/>
        <v>0</v>
      </c>
      <c r="X40" s="25"/>
    </row>
    <row r="41" spans="1:24" s="20" customFormat="1">
      <c r="A41" s="55">
        <v>38</v>
      </c>
      <c r="B41" s="37" t="s">
        <v>100</v>
      </c>
      <c r="C41" s="57" t="s">
        <v>101</v>
      </c>
      <c r="D41" s="5">
        <v>207773.05999999997</v>
      </c>
      <c r="E41" s="5">
        <f>14487.73+F41</f>
        <v>84678.68</v>
      </c>
      <c r="F41" s="38">
        <v>70190.95</v>
      </c>
      <c r="G41" s="5">
        <v>0</v>
      </c>
      <c r="H41" s="5">
        <v>0</v>
      </c>
      <c r="I41" s="5">
        <v>0</v>
      </c>
      <c r="J41" s="2">
        <f t="shared" si="24"/>
        <v>222260.78999999998</v>
      </c>
      <c r="K41" s="5">
        <v>102513.24</v>
      </c>
      <c r="L41" s="2">
        <v>101680.6</v>
      </c>
      <c r="M41" s="2">
        <f t="shared" si="27"/>
        <v>101680.6</v>
      </c>
      <c r="N41" s="5">
        <v>0</v>
      </c>
      <c r="O41" s="2">
        <v>100222.06</v>
      </c>
      <c r="P41" s="5">
        <v>1458.54</v>
      </c>
      <c r="Q41" s="5"/>
      <c r="R41" s="5">
        <v>1458.54</v>
      </c>
      <c r="S41" s="5">
        <v>0</v>
      </c>
      <c r="T41" s="5">
        <v>0</v>
      </c>
      <c r="U41" s="5">
        <v>0</v>
      </c>
      <c r="V41" s="5">
        <v>101680.6</v>
      </c>
      <c r="W41" s="2">
        <f t="shared" si="26"/>
        <v>101680.6</v>
      </c>
      <c r="X41" s="25"/>
    </row>
    <row r="42" spans="1:24" s="20" customFormat="1">
      <c r="A42" s="55">
        <v>39</v>
      </c>
      <c r="B42" s="37" t="s">
        <v>102</v>
      </c>
      <c r="C42" s="57" t="s">
        <v>103</v>
      </c>
      <c r="D42" s="5">
        <v>394315.24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2">
        <f t="shared" si="24"/>
        <v>394315.24</v>
      </c>
      <c r="K42" s="5">
        <v>0</v>
      </c>
      <c r="L42" s="2">
        <v>394315.24</v>
      </c>
      <c r="M42" s="2">
        <f t="shared" si="27"/>
        <v>394315.24</v>
      </c>
      <c r="N42" s="5">
        <v>0</v>
      </c>
      <c r="O42" s="2">
        <f t="shared" si="25"/>
        <v>394315.24</v>
      </c>
      <c r="P42" s="5">
        <v>0</v>
      </c>
      <c r="Q42" s="5"/>
      <c r="R42" s="5">
        <v>0</v>
      </c>
      <c r="S42" s="5">
        <v>0</v>
      </c>
      <c r="T42" s="5">
        <v>0</v>
      </c>
      <c r="U42" s="5">
        <v>0</v>
      </c>
      <c r="V42" s="5">
        <v>394315.24</v>
      </c>
      <c r="W42" s="2">
        <f t="shared" si="26"/>
        <v>394315.24</v>
      </c>
      <c r="X42" s="25"/>
    </row>
    <row r="43" spans="1:24" s="21" customFormat="1" ht="30.75" customHeight="1">
      <c r="A43" s="70">
        <v>40</v>
      </c>
      <c r="B43" s="71" t="s">
        <v>74</v>
      </c>
      <c r="C43" s="60" t="s">
        <v>75</v>
      </c>
      <c r="D43" s="75">
        <f t="shared" ref="D43:W43" si="28">SUM(D37:D42)</f>
        <v>5304065.0599999996</v>
      </c>
      <c r="E43" s="75">
        <f t="shared" si="28"/>
        <v>3565803.09</v>
      </c>
      <c r="F43" s="75">
        <f t="shared" si="28"/>
        <v>1875927.77</v>
      </c>
      <c r="G43" s="75">
        <f t="shared" si="28"/>
        <v>0</v>
      </c>
      <c r="H43" s="75">
        <f t="shared" si="28"/>
        <v>0</v>
      </c>
      <c r="I43" s="75">
        <f t="shared" si="28"/>
        <v>0</v>
      </c>
      <c r="J43" s="75">
        <f t="shared" si="28"/>
        <v>6993940.379999999</v>
      </c>
      <c r="K43" s="75">
        <f t="shared" si="28"/>
        <v>1691889.39</v>
      </c>
      <c r="L43" s="75">
        <f t="shared" si="28"/>
        <v>6181931.5</v>
      </c>
      <c r="M43" s="75">
        <f t="shared" si="28"/>
        <v>6181931.5</v>
      </c>
      <c r="N43" s="75">
        <f t="shared" si="28"/>
        <v>0</v>
      </c>
      <c r="O43" s="75">
        <f t="shared" si="28"/>
        <v>5359933.34</v>
      </c>
      <c r="P43" s="75">
        <f t="shared" si="28"/>
        <v>821998.16</v>
      </c>
      <c r="Q43" s="75">
        <f t="shared" si="28"/>
        <v>0</v>
      </c>
      <c r="R43" s="75">
        <f t="shared" si="28"/>
        <v>1458.54</v>
      </c>
      <c r="S43" s="75">
        <f t="shared" si="28"/>
        <v>0</v>
      </c>
      <c r="T43" s="75">
        <f t="shared" si="28"/>
        <v>2366.7400000000002</v>
      </c>
      <c r="U43" s="75">
        <f t="shared" si="28"/>
        <v>0</v>
      </c>
      <c r="V43" s="75">
        <f t="shared" si="28"/>
        <v>1770747.78</v>
      </c>
      <c r="W43" s="75">
        <f t="shared" si="28"/>
        <v>1773114.52</v>
      </c>
      <c r="X43" s="32" t="e">
        <f>SUM(X37:X39)</f>
        <v>#REF!</v>
      </c>
    </row>
    <row r="44" spans="1:24" s="21" customFormat="1" ht="30.75" customHeight="1">
      <c r="A44" s="76">
        <v>41</v>
      </c>
      <c r="B44" s="77" t="s">
        <v>76</v>
      </c>
      <c r="C44" s="78" t="s">
        <v>77</v>
      </c>
      <c r="D44" s="79" t="e">
        <f>D9+D26+D36+#REF!+D43</f>
        <v>#REF!</v>
      </c>
      <c r="E44" s="79" t="e">
        <f>E9+E26+E36+#REF!+E43</f>
        <v>#REF!</v>
      </c>
      <c r="F44" s="79" t="e">
        <f>F9+F26+F36+#REF!+F43</f>
        <v>#REF!</v>
      </c>
      <c r="G44" s="79" t="e">
        <f>G9+G26+G36+#REF!+G43</f>
        <v>#REF!</v>
      </c>
      <c r="H44" s="79" t="e">
        <f>H9+H26+H36+#REF!+H43</f>
        <v>#REF!</v>
      </c>
      <c r="I44" s="79" t="e">
        <f>I9+I26+I36+#REF!+I43</f>
        <v>#REF!</v>
      </c>
      <c r="J44" s="79" t="e">
        <f>J9+J26+J36+#REF!+J43</f>
        <v>#REF!</v>
      </c>
      <c r="K44" s="79" t="e">
        <f>K9+K26+K36+#REF!+K43</f>
        <v>#REF!</v>
      </c>
      <c r="L44" s="79">
        <f t="shared" ref="L44:W44" si="29">L9+L26+L36+L43</f>
        <v>120161126.15000001</v>
      </c>
      <c r="M44" s="79">
        <f t="shared" si="29"/>
        <v>104603688.78999999</v>
      </c>
      <c r="N44" s="79">
        <f t="shared" si="29"/>
        <v>15557437.359999999</v>
      </c>
      <c r="O44" s="79">
        <f t="shared" si="29"/>
        <v>87576915.060000002</v>
      </c>
      <c r="P44" s="79">
        <f t="shared" si="29"/>
        <v>17026773.73</v>
      </c>
      <c r="Q44" s="79">
        <f t="shared" si="29"/>
        <v>0</v>
      </c>
      <c r="R44" s="79">
        <f t="shared" si="29"/>
        <v>7422966.4299999997</v>
      </c>
      <c r="S44" s="79">
        <f t="shared" si="29"/>
        <v>26443555.890000001</v>
      </c>
      <c r="T44" s="79">
        <f t="shared" si="29"/>
        <v>9389099.6799999997</v>
      </c>
      <c r="U44" s="79">
        <f t="shared" si="29"/>
        <v>45576</v>
      </c>
      <c r="V44" s="79">
        <f t="shared" si="29"/>
        <v>27027891.350000001</v>
      </c>
      <c r="W44" s="79">
        <f t="shared" si="29"/>
        <v>62906122.920000002</v>
      </c>
      <c r="X44" s="33" t="e">
        <f>X9+X26+X36+#REF!+X43</f>
        <v>#REF!</v>
      </c>
    </row>
    <row r="45" spans="1:24" s="20" customFormat="1" ht="63.75">
      <c r="A45" s="55">
        <v>42</v>
      </c>
      <c r="B45" s="37" t="s">
        <v>78</v>
      </c>
      <c r="C45" s="56" t="s">
        <v>79</v>
      </c>
      <c r="D45" s="6">
        <v>15696579.289999992</v>
      </c>
      <c r="E45" s="6">
        <f>37010.64+444940.34-2492909-114025+2673166.32+1557358.79+F45</f>
        <v>2112638.44</v>
      </c>
      <c r="F45" s="6">
        <v>7096.35</v>
      </c>
      <c r="G45" s="6"/>
      <c r="H45" s="6">
        <v>0</v>
      </c>
      <c r="I45" s="6">
        <v>0</v>
      </c>
      <c r="J45" s="2">
        <f>D45+E45-F45-G45-H45-I45</f>
        <v>17802121.379999992</v>
      </c>
      <c r="K45" s="6">
        <v>4600976.37</v>
      </c>
      <c r="L45" s="2">
        <v>10391379.550000001</v>
      </c>
      <c r="M45" s="2">
        <f>L45-N45</f>
        <v>3945972.5500000007</v>
      </c>
      <c r="N45" s="6">
        <f>6254119+191288</f>
        <v>6445407</v>
      </c>
      <c r="O45" s="2">
        <f>M45-P45</f>
        <v>3708828.4000000008</v>
      </c>
      <c r="P45" s="6">
        <v>237144.15</v>
      </c>
      <c r="Q45" s="6">
        <v>0</v>
      </c>
      <c r="R45" s="6"/>
      <c r="S45" s="6">
        <v>0</v>
      </c>
      <c r="T45" s="6">
        <v>0</v>
      </c>
      <c r="U45" s="6">
        <v>0</v>
      </c>
      <c r="V45" s="6">
        <f>2119407.32+989935.71</f>
        <v>3109343.03</v>
      </c>
      <c r="W45" s="2">
        <f t="shared" ref="W45:W50" si="30">S45+T45+U45+V45</f>
        <v>3109343.03</v>
      </c>
      <c r="X45" s="25" t="e">
        <f>#REF!-Q45</f>
        <v>#REF!</v>
      </c>
    </row>
    <row r="46" spans="1:24" s="20" customFormat="1">
      <c r="A46" s="55">
        <v>43</v>
      </c>
      <c r="B46" s="37" t="s">
        <v>80</v>
      </c>
      <c r="C46" s="56" t="s">
        <v>81</v>
      </c>
      <c r="D46" s="5">
        <v>562.75</v>
      </c>
      <c r="E46" s="5">
        <f>44951.8+1939069.48</f>
        <v>1984021.28</v>
      </c>
      <c r="F46" s="5">
        <v>0</v>
      </c>
      <c r="G46" s="5">
        <v>0</v>
      </c>
      <c r="H46" s="5">
        <v>0</v>
      </c>
      <c r="I46" s="5">
        <v>0</v>
      </c>
      <c r="J46" s="2">
        <f>D46+E46-F46-G46</f>
        <v>1984584.03</v>
      </c>
      <c r="K46" s="5">
        <v>1984027.3</v>
      </c>
      <c r="L46" s="2">
        <v>3719.84</v>
      </c>
      <c r="M46" s="2">
        <f>L46-N46</f>
        <v>3719.84</v>
      </c>
      <c r="N46" s="5">
        <v>0</v>
      </c>
      <c r="O46" s="2">
        <f>M46-P46</f>
        <v>0</v>
      </c>
      <c r="P46" s="5">
        <v>3719.84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2">
        <f t="shared" si="30"/>
        <v>0</v>
      </c>
      <c r="X46" s="28" t="e">
        <f>#REF!-Q46</f>
        <v>#REF!</v>
      </c>
    </row>
    <row r="47" spans="1:24" s="20" customFormat="1" ht="25.5">
      <c r="A47" s="55">
        <v>44</v>
      </c>
      <c r="B47" s="37" t="s">
        <v>82</v>
      </c>
      <c r="C47" s="80" t="s">
        <v>83</v>
      </c>
      <c r="D47" s="38">
        <v>1433893.1400000043</v>
      </c>
      <c r="E47" s="38">
        <f>-1132889-1150290+8147960.18+1135709.5+9151178+14390</f>
        <v>16166058.68</v>
      </c>
      <c r="F47" s="38">
        <v>0</v>
      </c>
      <c r="G47" s="38">
        <v>0</v>
      </c>
      <c r="H47" s="38">
        <v>0</v>
      </c>
      <c r="I47" s="38">
        <v>0</v>
      </c>
      <c r="J47" s="2">
        <f>D47+E47-F47-G47-H47-I47</f>
        <v>17599951.820000004</v>
      </c>
      <c r="K47" s="38">
        <v>15985786.109999999</v>
      </c>
      <c r="L47" s="2">
        <v>774617.95</v>
      </c>
      <c r="M47" s="2">
        <f>L47-N47</f>
        <v>774617.95</v>
      </c>
      <c r="N47" s="2">
        <v>0</v>
      </c>
      <c r="O47" s="2">
        <f>M47-P47</f>
        <v>774617.95</v>
      </c>
      <c r="P47" s="2">
        <v>0</v>
      </c>
      <c r="Q47" s="2">
        <v>0</v>
      </c>
      <c r="R47" s="38">
        <v>413256</v>
      </c>
      <c r="S47" s="38">
        <v>0</v>
      </c>
      <c r="T47" s="38">
        <v>0</v>
      </c>
      <c r="U47" s="38">
        <v>0</v>
      </c>
      <c r="V47" s="38">
        <v>361361.95</v>
      </c>
      <c r="W47" s="2">
        <f t="shared" si="30"/>
        <v>361361.95</v>
      </c>
      <c r="X47" s="25" t="e">
        <f>#REF!-Q47</f>
        <v>#REF!</v>
      </c>
    </row>
    <row r="48" spans="1:24" s="21" customFormat="1" ht="30.75" customHeight="1">
      <c r="A48" s="76">
        <v>45</v>
      </c>
      <c r="B48" s="77" t="s">
        <v>84</v>
      </c>
      <c r="C48" s="78" t="s">
        <v>85</v>
      </c>
      <c r="D48" s="79">
        <f t="shared" ref="D48:X48" si="31">SUM(D45:D47)</f>
        <v>17131035.179999996</v>
      </c>
      <c r="E48" s="79">
        <f t="shared" si="31"/>
        <v>20262718.399999999</v>
      </c>
      <c r="F48" s="79">
        <f t="shared" si="31"/>
        <v>7096.35</v>
      </c>
      <c r="G48" s="79">
        <f t="shared" si="31"/>
        <v>0</v>
      </c>
      <c r="H48" s="79">
        <f t="shared" si="31"/>
        <v>0</v>
      </c>
      <c r="I48" s="79">
        <f t="shared" si="31"/>
        <v>0</v>
      </c>
      <c r="J48" s="79">
        <f t="shared" si="31"/>
        <v>37386657.229999997</v>
      </c>
      <c r="K48" s="79">
        <f t="shared" si="31"/>
        <v>22570789.780000001</v>
      </c>
      <c r="L48" s="79">
        <f t="shared" si="31"/>
        <v>11169717.34</v>
      </c>
      <c r="M48" s="79">
        <f t="shared" si="31"/>
        <v>4724310.3400000008</v>
      </c>
      <c r="N48" s="79">
        <f t="shared" si="31"/>
        <v>6445407</v>
      </c>
      <c r="O48" s="79">
        <f t="shared" si="31"/>
        <v>4483446.3500000006</v>
      </c>
      <c r="P48" s="79">
        <f t="shared" si="31"/>
        <v>240863.99</v>
      </c>
      <c r="Q48" s="79">
        <f t="shared" si="31"/>
        <v>0</v>
      </c>
      <c r="R48" s="79">
        <f t="shared" si="31"/>
        <v>413256</v>
      </c>
      <c r="S48" s="79">
        <f t="shared" si="31"/>
        <v>0</v>
      </c>
      <c r="T48" s="79">
        <f t="shared" si="31"/>
        <v>0</v>
      </c>
      <c r="U48" s="79">
        <f t="shared" si="31"/>
        <v>0</v>
      </c>
      <c r="V48" s="79">
        <f t="shared" si="31"/>
        <v>3470704.98</v>
      </c>
      <c r="W48" s="79">
        <f t="shared" si="31"/>
        <v>3470704.98</v>
      </c>
      <c r="X48" s="33" t="e">
        <f t="shared" si="31"/>
        <v>#REF!</v>
      </c>
    </row>
    <row r="49" spans="1:24" s="20" customFormat="1">
      <c r="A49" s="55">
        <v>46</v>
      </c>
      <c r="B49" s="37" t="s">
        <v>86</v>
      </c>
      <c r="C49" s="57" t="s">
        <v>97</v>
      </c>
      <c r="D49" s="5">
        <v>17997.119999999995</v>
      </c>
      <c r="E49" s="81">
        <v>148039.6</v>
      </c>
      <c r="F49" s="5">
        <v>0</v>
      </c>
      <c r="G49" s="5">
        <v>0</v>
      </c>
      <c r="H49" s="5">
        <v>0</v>
      </c>
      <c r="I49" s="5">
        <v>0</v>
      </c>
      <c r="J49" s="2">
        <f>D49+E49-F49-G49</f>
        <v>166036.72</v>
      </c>
      <c r="K49" s="5">
        <v>136962.88</v>
      </c>
      <c r="L49" s="5">
        <v>51814.400000000001</v>
      </c>
      <c r="M49" s="2">
        <v>0</v>
      </c>
      <c r="N49" s="5">
        <v>51814.400000000001</v>
      </c>
      <c r="O49" s="2">
        <v>0</v>
      </c>
      <c r="P49" s="38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2">
        <f t="shared" si="30"/>
        <v>0</v>
      </c>
      <c r="X49" s="25" t="e">
        <f>#REF!-Q49</f>
        <v>#REF!</v>
      </c>
    </row>
    <row r="50" spans="1:24" s="20" customFormat="1">
      <c r="A50" s="55">
        <v>47</v>
      </c>
      <c r="B50" s="37" t="s">
        <v>87</v>
      </c>
      <c r="C50" s="57" t="s">
        <v>88</v>
      </c>
      <c r="D50" s="5">
        <v>31123.079999999929</v>
      </c>
      <c r="E50" s="5">
        <v>204818.1</v>
      </c>
      <c r="F50" s="5">
        <v>0</v>
      </c>
      <c r="G50" s="5">
        <v>0</v>
      </c>
      <c r="H50" s="5">
        <v>0</v>
      </c>
      <c r="I50" s="5">
        <v>0</v>
      </c>
      <c r="J50" s="2">
        <f>D50+E50-F50-G50</f>
        <v>235941.17999999993</v>
      </c>
      <c r="K50" s="5">
        <v>196953.41</v>
      </c>
      <c r="L50" s="5">
        <v>28937.22</v>
      </c>
      <c r="M50" s="2">
        <f>L50-N50</f>
        <v>28937.22</v>
      </c>
      <c r="N50" s="5">
        <v>0</v>
      </c>
      <c r="O50" s="2">
        <v>28937.22</v>
      </c>
      <c r="P50" s="38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2">
        <f t="shared" si="30"/>
        <v>0</v>
      </c>
      <c r="X50" s="25" t="e">
        <f>#REF!-Q50</f>
        <v>#REF!</v>
      </c>
    </row>
    <row r="51" spans="1:24" s="21" customFormat="1" ht="60">
      <c r="A51" s="82">
        <v>48</v>
      </c>
      <c r="B51" s="83" t="s">
        <v>109</v>
      </c>
      <c r="C51" s="84" t="s">
        <v>110</v>
      </c>
      <c r="D51" s="85">
        <f t="shared" ref="D51:X51" si="32">SUM(D49:D50)</f>
        <v>49120.199999999924</v>
      </c>
      <c r="E51" s="85">
        <f t="shared" si="32"/>
        <v>352857.7</v>
      </c>
      <c r="F51" s="85">
        <f t="shared" si="32"/>
        <v>0</v>
      </c>
      <c r="G51" s="85">
        <f t="shared" si="32"/>
        <v>0</v>
      </c>
      <c r="H51" s="85">
        <f t="shared" si="32"/>
        <v>0</v>
      </c>
      <c r="I51" s="85">
        <f t="shared" si="32"/>
        <v>0</v>
      </c>
      <c r="J51" s="85">
        <f t="shared" si="32"/>
        <v>401977.89999999991</v>
      </c>
      <c r="K51" s="85">
        <f t="shared" si="32"/>
        <v>333916.29000000004</v>
      </c>
      <c r="L51" s="85">
        <f>SUM(L49:L50)</f>
        <v>80751.62</v>
      </c>
      <c r="M51" s="85">
        <f>SUM(M49:M50)</f>
        <v>28937.22</v>
      </c>
      <c r="N51" s="85">
        <f t="shared" si="32"/>
        <v>51814.400000000001</v>
      </c>
      <c r="O51" s="85">
        <f t="shared" si="32"/>
        <v>28937.22</v>
      </c>
      <c r="P51" s="85">
        <f t="shared" si="32"/>
        <v>0</v>
      </c>
      <c r="Q51" s="85">
        <f t="shared" si="32"/>
        <v>0</v>
      </c>
      <c r="R51" s="85">
        <f t="shared" si="32"/>
        <v>0</v>
      </c>
      <c r="S51" s="85">
        <f t="shared" si="32"/>
        <v>0</v>
      </c>
      <c r="T51" s="85">
        <f t="shared" si="32"/>
        <v>0</v>
      </c>
      <c r="U51" s="85">
        <f t="shared" si="32"/>
        <v>0</v>
      </c>
      <c r="V51" s="85">
        <f t="shared" si="32"/>
        <v>0</v>
      </c>
      <c r="W51" s="85">
        <f t="shared" si="32"/>
        <v>0</v>
      </c>
      <c r="X51" s="33" t="e">
        <f t="shared" si="32"/>
        <v>#REF!</v>
      </c>
    </row>
    <row r="52" spans="1:24" s="21" customFormat="1" ht="30.75" customHeight="1">
      <c r="A52" s="86">
        <v>49</v>
      </c>
      <c r="B52" s="87"/>
      <c r="C52" s="88" t="s">
        <v>106</v>
      </c>
      <c r="D52" s="89" t="e">
        <f t="shared" ref="D52:X52" si="33">D44+D48+D51</f>
        <v>#REF!</v>
      </c>
      <c r="E52" s="89" t="e">
        <f t="shared" si="33"/>
        <v>#REF!</v>
      </c>
      <c r="F52" s="89" t="e">
        <f t="shared" si="33"/>
        <v>#REF!</v>
      </c>
      <c r="G52" s="89" t="e">
        <f t="shared" si="33"/>
        <v>#REF!</v>
      </c>
      <c r="H52" s="89" t="e">
        <f t="shared" si="33"/>
        <v>#REF!</v>
      </c>
      <c r="I52" s="89" t="e">
        <f t="shared" si="33"/>
        <v>#REF!</v>
      </c>
      <c r="J52" s="89" t="e">
        <f t="shared" si="33"/>
        <v>#REF!</v>
      </c>
      <c r="K52" s="89" t="e">
        <f t="shared" si="33"/>
        <v>#REF!</v>
      </c>
      <c r="L52" s="89">
        <f t="shared" si="33"/>
        <v>131411595.11000001</v>
      </c>
      <c r="M52" s="89">
        <f t="shared" si="33"/>
        <v>109356936.34999999</v>
      </c>
      <c r="N52" s="89">
        <f t="shared" si="33"/>
        <v>22054658.759999998</v>
      </c>
      <c r="O52" s="89">
        <f t="shared" si="33"/>
        <v>92089298.629999995</v>
      </c>
      <c r="P52" s="89">
        <f t="shared" si="33"/>
        <v>17267637.719999999</v>
      </c>
      <c r="Q52" s="89">
        <f t="shared" si="33"/>
        <v>0</v>
      </c>
      <c r="R52" s="89">
        <f t="shared" si="33"/>
        <v>7836222.4299999997</v>
      </c>
      <c r="S52" s="89">
        <f t="shared" si="33"/>
        <v>26443555.890000001</v>
      </c>
      <c r="T52" s="89">
        <f t="shared" si="33"/>
        <v>9389099.6799999997</v>
      </c>
      <c r="U52" s="89">
        <f t="shared" si="33"/>
        <v>45576</v>
      </c>
      <c r="V52" s="89">
        <f t="shared" si="33"/>
        <v>30498596.330000002</v>
      </c>
      <c r="W52" s="89">
        <f t="shared" si="33"/>
        <v>66376827.899999999</v>
      </c>
      <c r="X52" s="34" t="e">
        <f t="shared" si="33"/>
        <v>#REF!</v>
      </c>
    </row>
    <row r="53" spans="1:24">
      <c r="A53" s="1"/>
      <c r="B53" s="1"/>
      <c r="C53" s="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4">
      <c r="A54" s="1"/>
      <c r="B54" s="1"/>
      <c r="C54" s="1"/>
      <c r="D54" s="41"/>
      <c r="E54" s="40"/>
      <c r="F54" s="18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4">
      <c r="A55" s="1"/>
      <c r="B55" s="1"/>
      <c r="C55" s="1"/>
      <c r="D55" s="39"/>
      <c r="E55" s="4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4">
      <c r="A56" s="1"/>
      <c r="B56" s="1"/>
      <c r="C56" s="1"/>
      <c r="D56" s="41"/>
      <c r="E56" s="35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4">
      <c r="A57" s="1"/>
      <c r="B57" s="1"/>
      <c r="C57" s="1"/>
      <c r="D57" s="42"/>
      <c r="E57" s="35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4">
      <c r="D58" s="41"/>
      <c r="E58" s="11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</row>
    <row r="59" spans="1:24">
      <c r="D59" s="41"/>
      <c r="E59" s="11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</row>
    <row r="60" spans="1:24">
      <c r="D60" s="39"/>
      <c r="E60" s="11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</row>
    <row r="61" spans="1:24">
      <c r="D61" s="44"/>
      <c r="E61" s="11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</row>
    <row r="62" spans="1:24">
      <c r="D62" s="13"/>
      <c r="E62" s="11"/>
    </row>
    <row r="63" spans="1:24">
      <c r="D63" s="13"/>
      <c r="E63" s="11"/>
    </row>
    <row r="64" spans="1:24">
      <c r="D64" s="13"/>
      <c r="E64" s="11"/>
    </row>
    <row r="65" spans="4:5">
      <c r="D65" s="14"/>
      <c r="E65" s="11"/>
    </row>
    <row r="66" spans="4:5">
      <c r="D66" s="13"/>
      <c r="E66" s="11"/>
    </row>
    <row r="67" spans="4:5">
      <c r="D67" s="12"/>
      <c r="E67" s="11"/>
    </row>
    <row r="68" spans="4:5">
      <c r="D68" s="12"/>
      <c r="E68" s="11"/>
    </row>
    <row r="69" spans="4:5">
      <c r="D69" s="13"/>
      <c r="E69" s="11"/>
    </row>
    <row r="70" spans="4:5">
      <c r="D70" s="12"/>
      <c r="E70" s="11"/>
    </row>
    <row r="71" spans="4:5">
      <c r="D71" s="13"/>
      <c r="E71" s="11"/>
    </row>
    <row r="72" spans="4:5">
      <c r="D72" s="13"/>
      <c r="E72" s="11"/>
    </row>
    <row r="73" spans="4:5">
      <c r="D73" s="13"/>
      <c r="E73" s="11"/>
    </row>
    <row r="74" spans="4:5">
      <c r="D74" s="13"/>
      <c r="E74" s="11"/>
    </row>
    <row r="75" spans="4:5">
      <c r="D75" s="12"/>
      <c r="E75" s="11"/>
    </row>
    <row r="76" spans="4:5">
      <c r="D76" s="13"/>
      <c r="E76" s="11"/>
    </row>
    <row r="77" spans="4:5">
      <c r="D77" s="13"/>
      <c r="E77" s="11"/>
    </row>
    <row r="78" spans="4:5">
      <c r="D78" s="13"/>
      <c r="E78" s="11"/>
    </row>
    <row r="79" spans="4:5">
      <c r="D79" s="12"/>
      <c r="E79" s="11"/>
    </row>
    <row r="80" spans="4:5">
      <c r="D80" s="15"/>
      <c r="E80" s="11"/>
    </row>
    <row r="81" spans="4:5">
      <c r="D81" s="13"/>
      <c r="E81" s="11"/>
    </row>
    <row r="82" spans="4:5">
      <c r="D82" s="15"/>
      <c r="E82" s="11"/>
    </row>
    <row r="83" spans="4:5">
      <c r="D83" s="13"/>
      <c r="E83" s="11"/>
    </row>
    <row r="84" spans="4:5">
      <c r="D84" s="13"/>
      <c r="E84" s="11"/>
    </row>
    <row r="85" spans="4:5">
      <c r="D85" s="13"/>
      <c r="E85" s="11"/>
    </row>
    <row r="86" spans="4:5">
      <c r="D86" s="15"/>
      <c r="E86" s="11"/>
    </row>
    <row r="87" spans="4:5">
      <c r="D87" s="16"/>
      <c r="E87" s="11"/>
    </row>
    <row r="88" spans="4:5">
      <c r="D88" s="13"/>
      <c r="E88" s="11"/>
    </row>
    <row r="89" spans="4:5">
      <c r="D89" s="13"/>
      <c r="E89" s="11"/>
    </row>
    <row r="90" spans="4:5">
      <c r="D90" s="13"/>
      <c r="E90" s="11"/>
    </row>
    <row r="91" spans="4:5">
      <c r="D91" s="13"/>
      <c r="E91" s="11"/>
    </row>
    <row r="92" spans="4:5">
      <c r="D92" s="16"/>
      <c r="E92" s="11"/>
    </row>
    <row r="93" spans="4:5">
      <c r="D93" s="13"/>
      <c r="E93" s="11"/>
    </row>
    <row r="94" spans="4:5">
      <c r="D94" s="13"/>
      <c r="E94" s="11"/>
    </row>
    <row r="95" spans="4:5">
      <c r="D95" s="13"/>
      <c r="E95" s="11"/>
    </row>
    <row r="96" spans="4:5">
      <c r="D96" s="13"/>
      <c r="E96" s="11"/>
    </row>
    <row r="97" spans="4:5">
      <c r="D97" s="16"/>
      <c r="E97" s="11"/>
    </row>
    <row r="98" spans="4:5">
      <c r="D98" s="17"/>
      <c r="E98" s="11"/>
    </row>
    <row r="99" spans="4:5">
      <c r="D99" s="17"/>
      <c r="E99" s="11"/>
    </row>
    <row r="100" spans="4:5">
      <c r="D100" s="17"/>
      <c r="E100" s="11"/>
    </row>
    <row r="101" spans="4:5">
      <c r="D101" s="17"/>
      <c r="E101" s="11"/>
    </row>
    <row r="102" spans="4:5">
      <c r="D102" s="17"/>
      <c r="E102" s="11"/>
    </row>
    <row r="103" spans="4:5">
      <c r="D103" s="17"/>
      <c r="E103" s="11"/>
    </row>
    <row r="104" spans="4:5">
      <c r="D104" s="17"/>
      <c r="E104" s="11"/>
    </row>
    <row r="105" spans="4:5">
      <c r="D105" s="17"/>
      <c r="E105" s="11"/>
    </row>
    <row r="106" spans="4:5">
      <c r="D106" s="17"/>
      <c r="E106" s="11"/>
    </row>
    <row r="107" spans="4:5">
      <c r="D107" s="17"/>
      <c r="E107" s="11"/>
    </row>
    <row r="108" spans="4:5">
      <c r="D108" s="17"/>
      <c r="E108" s="11"/>
    </row>
    <row r="109" spans="4:5">
      <c r="D109" s="17"/>
      <c r="E109" s="11"/>
    </row>
    <row r="110" spans="4:5">
      <c r="D110" s="17"/>
      <c r="E110" s="11"/>
    </row>
    <row r="111" spans="4:5">
      <c r="D111" s="17"/>
      <c r="E111" s="11"/>
    </row>
    <row r="112" spans="4:5">
      <c r="D112" s="17"/>
      <c r="E112" s="11"/>
    </row>
    <row r="113" spans="4:5">
      <c r="D113" s="17"/>
      <c r="E113" s="11"/>
    </row>
    <row r="114" spans="4:5">
      <c r="D114" s="17"/>
      <c r="E114" s="11"/>
    </row>
    <row r="115" spans="4:5">
      <c r="D115" s="17"/>
      <c r="E115" s="11"/>
    </row>
    <row r="116" spans="4:5">
      <c r="D116" s="17"/>
      <c r="E116" s="11"/>
    </row>
    <row r="117" spans="4:5">
      <c r="D117" s="17"/>
      <c r="E117" s="11"/>
    </row>
    <row r="118" spans="4:5">
      <c r="D118" s="17"/>
      <c r="E118" s="11"/>
    </row>
    <row r="119" spans="4:5">
      <c r="D119" s="17"/>
      <c r="E119" s="11"/>
    </row>
    <row r="120" spans="4:5">
      <c r="D120" s="17"/>
      <c r="E120" s="11"/>
    </row>
    <row r="121" spans="4:5">
      <c r="D121" s="17"/>
      <c r="E121" s="11"/>
    </row>
    <row r="122" spans="4:5">
      <c r="D122" s="17"/>
      <c r="E122" s="11"/>
    </row>
    <row r="123" spans="4:5">
      <c r="D123" s="17"/>
      <c r="E123" s="11"/>
    </row>
  </sheetData>
  <sheetProtection selectLockedCells="1"/>
  <customSheetViews>
    <customSheetView guid="{D11D6AA0-EDFE-4E07-8ADC-865141EACEB2}" showPageBreaks="1" showGridLines="0" printArea="1" hiddenColumns="1">
      <pane ySplit="3" topLeftCell="A4" activePane="bottomLeft" state="frozen"/>
      <selection pane="bottomLeft" activeCell="A53" sqref="A53"/>
      <rowBreaks count="1" manualBreakCount="1">
        <brk id="44" max="23" man="1"/>
      </rowBreaks>
      <pageMargins left="0.23622047244094491" right="0.19685039370078741" top="0.27559055118110237" bottom="0.23622047244094491" header="0.39370078740157483" footer="0.39370078740157483"/>
      <pageSetup paperSize="8" scale="85" firstPageNumber="146" orientation="landscape" useFirstPageNumber="1" r:id="rId1"/>
      <headerFooter alignWithMargins="0">
        <oddFooter>&amp;C&amp;12&amp;P</oddFooter>
      </headerFooter>
    </customSheetView>
    <customSheetView guid="{287BB99E-4494-4C80-9BF5-A16ED9F406F9}" scale="70" showPageBreaks="1" showGridLines="0" printArea="1" hiddenColumns="1" view="pageBreakPreview">
      <pane xSplit="10" ySplit="2" topLeftCell="L36" activePane="bottomRight" state="frozen"/>
      <selection pane="bottomRight" activeCell="S48" sqref="S48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2"/>
      <headerFooter alignWithMargins="0"/>
    </customSheetView>
    <customSheetView guid="{B1D981AC-BF34-4C8C-9AD3-B7F961F3C03B}" scale="70" showPageBreaks="1" showGridLines="0" printArea="1" hiddenColumns="1" view="pageBreakPreview">
      <pane xSplit="3" ySplit="2" topLeftCell="D42" activePane="bottomRight" state="frozen"/>
      <selection pane="bottomRight" activeCell="G66" sqref="G66:H66"/>
      <pageMargins left="0.35" right="0.19685039370078741" top="0.61" bottom="0.63" header="0.37" footer="0.34"/>
      <pageSetup paperSize="8" scale="54" firstPageNumber="161" orientation="landscape" useFirstPageNumber="1" r:id="rId3"/>
      <headerFooter alignWithMargins="0"/>
    </customSheetView>
    <customSheetView guid="{1285AB19-9522-4B0A-BEC0-749BF7FEE887}" scale="80" showGridLines="0" printArea="1" hiddenColumns="1">
      <pane ySplit="3" topLeftCell="A5" activePane="bottomLeft" state="frozen"/>
      <selection pane="bottomLeft" activeCell="E25" sqref="A25:E25"/>
      <pageMargins left="0.23622047244094491" right="0.19685039370078741" top="0.27559055118110237" bottom="0.23622047244094491" header="0.39370078740157483" footer="0.39370078740157483"/>
      <pageSetup paperSize="8" scale="85" firstPageNumber="161" orientation="landscape" useFirstPageNumber="1" r:id="rId4"/>
      <headerFooter alignWithMargins="0">
        <oddFooter>&amp;C&amp;12&amp;P</oddFooter>
      </headerFooter>
    </customSheetView>
    <customSheetView guid="{FF88790F-B3A8-43E0-9E45-6D97494C5053}" scale="80" showPageBreaks="1" showGridLines="0" printArea="1" hiddenColumns="1">
      <pane ySplit="3" topLeftCell="A10" activePane="bottomLeft" state="frozen"/>
      <selection pane="bottomLeft" activeCell="A15" sqref="A15"/>
      <pageMargins left="0.23622047244094491" right="0.19685039370078741" top="0.27559055118110237" bottom="0.23622047244094491" header="0.39370078740157483" footer="0.39370078740157483"/>
      <pageSetup paperSize="8" scale="85" firstPageNumber="161" orientation="landscape" useFirstPageNumber="1" r:id="rId5"/>
      <headerFooter alignWithMargins="0">
        <oddFooter>&amp;C&amp;12&amp;P</oddFooter>
      </headerFooter>
    </customSheetView>
    <customSheetView guid="{FCC78B18-1C4A-4200-9EB7-014DEC4CEC97}" scale="90" showPageBreaks="1" showGridLines="0" printArea="1" hiddenColumns="1" view="pageBreakPreview">
      <pane xSplit="10" ySplit="3" topLeftCell="L43" activePane="bottomRight" state="frozen"/>
      <selection pane="bottomRight" activeCell="C43" sqref="C43"/>
      <pageMargins left="0.23622047244094491" right="0.19685039370078741" top="0.27559055118110237" bottom="0.23622047244094491" header="0.31496062992125984" footer="0.19685039370078741"/>
      <pageSetup paperSize="8" scale="65" firstPageNumber="161" orientation="landscape" useFirstPageNumber="1" r:id="rId6"/>
      <headerFooter alignWithMargins="0">
        <oddFooter>&amp;C&amp;12&amp;P</oddFooter>
      </headerFooter>
    </customSheetView>
  </customSheetViews>
  <mergeCells count="1">
    <mergeCell ref="A1:W1"/>
  </mergeCells>
  <pageMargins left="0.23622047244094491" right="0.19685039370078741" top="0.27559055118110237" bottom="0.23622047244094491" header="0.39370078740157483" footer="0.39370078740157483"/>
  <pageSetup paperSize="8" scale="85" firstPageNumber="146" orientation="landscape" useFirstPageNumber="1" r:id="rId7"/>
  <headerFooter alignWithMargins="0">
    <oddFooter>&amp;C&amp;12&amp;P</oddFooter>
  </headerFooter>
  <rowBreaks count="1" manualBreakCount="1">
    <brk id="44" max="23" man="1"/>
  </rowBreaks>
  <ignoredErrors>
    <ignoredError sqref="B50 B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POTRAŽIVANJA 2020. PULA </vt:lpstr>
      <vt:lpstr>'POTRAŽIVANJA 2020. PULA '!Print_Area</vt:lpstr>
      <vt:lpstr>'POTRAŽIVANJA 2020. PULA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Batelić</dc:creator>
  <cp:lastModifiedBy>bbatelic</cp:lastModifiedBy>
  <cp:lastPrinted>2020-08-31T12:44:42Z</cp:lastPrinted>
  <dcterms:created xsi:type="dcterms:W3CDTF">2015-04-17T07:43:30Z</dcterms:created>
  <dcterms:modified xsi:type="dcterms:W3CDTF">2020-08-31T12:44:43Z</dcterms:modified>
</cp:coreProperties>
</file>