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19155" windowHeight="1182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D9" i="1"/>
  <c r="D54"/>
  <c r="D39"/>
  <c r="D35"/>
  <c r="D31"/>
  <c r="D28"/>
  <c r="D23"/>
  <c r="D18"/>
  <c r="D15"/>
  <c r="D11"/>
  <c r="N54"/>
  <c r="M54"/>
  <c r="L54"/>
  <c r="K54"/>
  <c r="J54"/>
  <c r="I54"/>
  <c r="H54"/>
  <c r="F54"/>
  <c r="O53"/>
  <c r="E53"/>
  <c r="O52"/>
  <c r="O54" s="1"/>
  <c r="M51"/>
  <c r="L51"/>
  <c r="K51"/>
  <c r="I51"/>
  <c r="H51"/>
  <c r="O50"/>
  <c r="E50"/>
  <c r="N49"/>
  <c r="O49" s="1"/>
  <c r="O51" s="1"/>
  <c r="J49"/>
  <c r="J51" s="1"/>
  <c r="F49"/>
  <c r="F51" s="1"/>
  <c r="N47"/>
  <c r="M47"/>
  <c r="L47"/>
  <c r="K47"/>
  <c r="J47"/>
  <c r="I47"/>
  <c r="H47"/>
  <c r="F47"/>
  <c r="O46"/>
  <c r="O45"/>
  <c r="O43"/>
  <c r="O42"/>
  <c r="O41"/>
  <c r="M39"/>
  <c r="J39"/>
  <c r="I39"/>
  <c r="F39"/>
  <c r="O38"/>
  <c r="N37"/>
  <c r="L37"/>
  <c r="K37"/>
  <c r="K39" s="1"/>
  <c r="H37"/>
  <c r="H39" s="1"/>
  <c r="E37"/>
  <c r="N36"/>
  <c r="N35"/>
  <c r="M35"/>
  <c r="L35"/>
  <c r="K35"/>
  <c r="J35"/>
  <c r="I35"/>
  <c r="I40" s="1"/>
  <c r="O34"/>
  <c r="H34"/>
  <c r="E34"/>
  <c r="O33"/>
  <c r="H33"/>
  <c r="O32"/>
  <c r="N31"/>
  <c r="M31"/>
  <c r="M40" s="1"/>
  <c r="L31"/>
  <c r="K31"/>
  <c r="J31"/>
  <c r="J40" s="1"/>
  <c r="H31"/>
  <c r="F31"/>
  <c r="O30"/>
  <c r="O31" s="1"/>
  <c r="N28"/>
  <c r="M28"/>
  <c r="L28"/>
  <c r="K28"/>
  <c r="J28"/>
  <c r="I28"/>
  <c r="F28"/>
  <c r="O27"/>
  <c r="E27"/>
  <c r="O26"/>
  <c r="E26"/>
  <c r="O25"/>
  <c r="H25"/>
  <c r="H28" s="1"/>
  <c r="N24"/>
  <c r="O24" s="1"/>
  <c r="N23"/>
  <c r="M23"/>
  <c r="L23"/>
  <c r="K23"/>
  <c r="J23"/>
  <c r="I23"/>
  <c r="F23"/>
  <c r="O22"/>
  <c r="E22"/>
  <c r="O21"/>
  <c r="H21"/>
  <c r="H23" s="1"/>
  <c r="E21"/>
  <c r="O20"/>
  <c r="E20"/>
  <c r="O19"/>
  <c r="N18"/>
  <c r="M18"/>
  <c r="L18"/>
  <c r="L16" s="1"/>
  <c r="K18"/>
  <c r="K16" s="1"/>
  <c r="J18"/>
  <c r="J16" s="1"/>
  <c r="I18"/>
  <c r="I16" s="1"/>
  <c r="H18"/>
  <c r="F18"/>
  <c r="F16" s="1"/>
  <c r="O17"/>
  <c r="O18" s="1"/>
  <c r="M16"/>
  <c r="N15"/>
  <c r="M15"/>
  <c r="L15"/>
  <c r="K15"/>
  <c r="J15"/>
  <c r="I15"/>
  <c r="H15"/>
  <c r="F15"/>
  <c r="O14"/>
  <c r="P14" s="1"/>
  <c r="O13"/>
  <c r="E13"/>
  <c r="O12"/>
  <c r="P12" s="1"/>
  <c r="N11"/>
  <c r="M11"/>
  <c r="L11"/>
  <c r="K11"/>
  <c r="J11"/>
  <c r="I11"/>
  <c r="H11"/>
  <c r="F11"/>
  <c r="O10"/>
  <c r="O11" s="1"/>
  <c r="M9"/>
  <c r="J9"/>
  <c r="I9"/>
  <c r="F9"/>
  <c r="O8"/>
  <c r="E8"/>
  <c r="O7"/>
  <c r="E7"/>
  <c r="N6"/>
  <c r="K6"/>
  <c r="E6"/>
  <c r="N5"/>
  <c r="L5"/>
  <c r="L9" s="1"/>
  <c r="K5"/>
  <c r="K9" s="1"/>
  <c r="H5"/>
  <c r="E5"/>
  <c r="N4"/>
  <c r="H4"/>
  <c r="N16" l="1"/>
  <c r="H35"/>
  <c r="O47"/>
  <c r="F29"/>
  <c r="K40"/>
  <c r="O23"/>
  <c r="N39"/>
  <c r="N40" s="1"/>
  <c r="O6"/>
  <c r="P6" s="1"/>
  <c r="O37"/>
  <c r="P37" s="1"/>
  <c r="O28"/>
  <c r="O16" s="1"/>
  <c r="O35"/>
  <c r="E24"/>
  <c r="E46"/>
  <c r="E42"/>
  <c r="P42" s="1"/>
  <c r="E44"/>
  <c r="P44" s="1"/>
  <c r="E43"/>
  <c r="E45"/>
  <c r="P45" s="1"/>
  <c r="D51"/>
  <c r="D16"/>
  <c r="D29" s="1"/>
  <c r="D40"/>
  <c r="E4"/>
  <c r="N9"/>
  <c r="E38"/>
  <c r="G38" s="1"/>
  <c r="J29"/>
  <c r="J48" s="1"/>
  <c r="J55" s="1"/>
  <c r="L29"/>
  <c r="N29"/>
  <c r="H9"/>
  <c r="I29"/>
  <c r="I48" s="1"/>
  <c r="I55" s="1"/>
  <c r="K29"/>
  <c r="M29"/>
  <c r="M48" s="1"/>
  <c r="M55" s="1"/>
  <c r="P7"/>
  <c r="G7"/>
  <c r="G6"/>
  <c r="E15"/>
  <c r="P13"/>
  <c r="G13"/>
  <c r="G15" s="1"/>
  <c r="P22"/>
  <c r="G22"/>
  <c r="P27"/>
  <c r="G27"/>
  <c r="G37"/>
  <c r="G42"/>
  <c r="P50"/>
  <c r="G50"/>
  <c r="P53"/>
  <c r="G53"/>
  <c r="G54" s="1"/>
  <c r="H16"/>
  <c r="H29" s="1"/>
  <c r="H40"/>
  <c r="G5"/>
  <c r="P8"/>
  <c r="G8"/>
  <c r="P20"/>
  <c r="G20"/>
  <c r="G21"/>
  <c r="P21"/>
  <c r="P26"/>
  <c r="G26"/>
  <c r="P34"/>
  <c r="G34"/>
  <c r="O5"/>
  <c r="P5" s="1"/>
  <c r="O15"/>
  <c r="E30"/>
  <c r="E33"/>
  <c r="O36"/>
  <c r="O39" s="1"/>
  <c r="O40" s="1"/>
  <c r="L39"/>
  <c r="L40" s="1"/>
  <c r="N51"/>
  <c r="O4"/>
  <c r="E10"/>
  <c r="F32"/>
  <c r="F35" s="1"/>
  <c r="F40" s="1"/>
  <c r="F48" s="1"/>
  <c r="F55" s="1"/>
  <c r="L48" l="1"/>
  <c r="L55" s="1"/>
  <c r="P38"/>
  <c r="K48"/>
  <c r="K55" s="1"/>
  <c r="G44"/>
  <c r="P24"/>
  <c r="G24"/>
  <c r="O9"/>
  <c r="O29"/>
  <c r="P46"/>
  <c r="G46"/>
  <c r="G43"/>
  <c r="P43"/>
  <c r="N48"/>
  <c r="N55" s="1"/>
  <c r="H48"/>
  <c r="H55" s="1"/>
  <c r="P30"/>
  <c r="G30"/>
  <c r="G31" s="1"/>
  <c r="E31"/>
  <c r="E52"/>
  <c r="E19"/>
  <c r="E11"/>
  <c r="P10"/>
  <c r="P11" s="1"/>
  <c r="G10"/>
  <c r="G11" s="1"/>
  <c r="D47"/>
  <c r="D48" s="1"/>
  <c r="D55" s="1"/>
  <c r="E36"/>
  <c r="E25"/>
  <c r="E32"/>
  <c r="P15"/>
  <c r="G33"/>
  <c r="G35" s="1"/>
  <c r="P33"/>
  <c r="E17"/>
  <c r="O48" l="1"/>
  <c r="O55" s="1"/>
  <c r="E9"/>
  <c r="P4"/>
  <c r="G4"/>
  <c r="G9" s="1"/>
  <c r="E28"/>
  <c r="P25"/>
  <c r="G25"/>
  <c r="G28" s="1"/>
  <c r="E39"/>
  <c r="P36"/>
  <c r="G36"/>
  <c r="G39" s="1"/>
  <c r="G40" s="1"/>
  <c r="P19"/>
  <c r="G19"/>
  <c r="G23" s="1"/>
  <c r="E23"/>
  <c r="E54"/>
  <c r="P52"/>
  <c r="P31"/>
  <c r="E18"/>
  <c r="P17"/>
  <c r="G17"/>
  <c r="G18" s="1"/>
  <c r="E49"/>
  <c r="P32"/>
  <c r="E35"/>
  <c r="E40" s="1"/>
  <c r="E16" l="1"/>
  <c r="E29" s="1"/>
  <c r="G16"/>
  <c r="G29" s="1"/>
  <c r="E51"/>
  <c r="P49"/>
  <c r="G49"/>
  <c r="G51" s="1"/>
  <c r="P54"/>
  <c r="P23"/>
  <c r="P39"/>
  <c r="P9"/>
  <c r="P35"/>
  <c r="P40" s="1"/>
  <c r="P18"/>
  <c r="P28"/>
  <c r="E41"/>
  <c r="P16" l="1"/>
  <c r="P29" s="1"/>
  <c r="P41"/>
  <c r="G41"/>
  <c r="G47" s="1"/>
  <c r="G48" s="1"/>
  <c r="G55" s="1"/>
  <c r="E47"/>
  <c r="E48" s="1"/>
  <c r="E55" s="1"/>
  <c r="P51"/>
  <c r="P47" l="1"/>
  <c r="P48" s="1"/>
  <c r="P55" s="1"/>
</calcChain>
</file>

<file path=xl/sharedStrings.xml><?xml version="1.0" encoding="utf-8"?>
<sst xmlns="http://schemas.openxmlformats.org/spreadsheetml/2006/main" count="126" uniqueCount="124">
  <si>
    <t>GRAD PULA - POLA STANJE POTRAŽIVANJA NA DAN 31.12.2019.</t>
  </si>
  <si>
    <t>Redni
broj</t>
  </si>
  <si>
    <t>Konto</t>
  </si>
  <si>
    <t>Opis</t>
  </si>
  <si>
    <t>Potraživanja (stanje 31.12.)</t>
  </si>
  <si>
    <t>Dospjela</t>
  </si>
  <si>
    <t>Nedospjela</t>
  </si>
  <si>
    <t>Potraživanja iz ranijih godina dospjela</t>
  </si>
  <si>
    <t>Potraživanja tekuće 2019. godine dospjela</t>
  </si>
  <si>
    <t>Naplaćeno do .2015. za prošlu godinu</t>
  </si>
  <si>
    <t>Poslane opomene u 2019.</t>
  </si>
  <si>
    <t>Prijavljeno u stečaj ili likvidaciju-saldo</t>
  </si>
  <si>
    <t>Prijavljeno u postupak predstečajne nagodbe-saldo</t>
  </si>
  <si>
    <t>Mjenice i zadužnice
u 2019. - saldo</t>
  </si>
  <si>
    <t>Ovrhe saldo
31.12.2019</t>
  </si>
  <si>
    <t>UKUPNO OVRHE</t>
  </si>
  <si>
    <t xml:space="preserve">NEOVRŠENA POTRAŽIVANJA </t>
  </si>
  <si>
    <t>1</t>
  </si>
  <si>
    <t>22 (12-21)</t>
  </si>
  <si>
    <t>1613102</t>
  </si>
  <si>
    <t>Porez na kuće za odmor</t>
  </si>
  <si>
    <t>1614602</t>
  </si>
  <si>
    <t>Porez na tvrtku ili naziv</t>
  </si>
  <si>
    <t>1614301</t>
  </si>
  <si>
    <t xml:space="preserve">Porez na potrošnju </t>
  </si>
  <si>
    <t>Porez na korištenje javnih površina</t>
  </si>
  <si>
    <t>161340</t>
  </si>
  <si>
    <t>Porez na promet nekretnina 1783</t>
  </si>
  <si>
    <t>6</t>
  </si>
  <si>
    <t>161</t>
  </si>
  <si>
    <t>Ukupno potraživanja za poreze</t>
  </si>
  <si>
    <t>163611</t>
  </si>
  <si>
    <t>Potraživanja tek.pom.pror.korisnik iz pror.koji im nije nadležan - JVP</t>
  </si>
  <si>
    <t>8</t>
  </si>
  <si>
    <t>163</t>
  </si>
  <si>
    <t>Potraživanja za prihode iz proračuna</t>
  </si>
  <si>
    <t>1641901</t>
  </si>
  <si>
    <t>Potraživanja po osnovi naknade za zbrinjavanje kom. otpada na Kaštjunu</t>
  </si>
  <si>
    <t>Potraživanja za Ugovore o financiranju-stvarni troškovi gradnje</t>
  </si>
  <si>
    <t>Ostala potraživanja za usluge Grada Pule</t>
  </si>
  <si>
    <t>12</t>
  </si>
  <si>
    <t>1641</t>
  </si>
  <si>
    <t>Potraživanja za prihode od financijske imovine-knjiga izlaznih računa</t>
  </si>
  <si>
    <t>1642</t>
  </si>
  <si>
    <t>Potraživanja za prihode od nefinancijske imovine</t>
  </si>
  <si>
    <t>1642101</t>
  </si>
  <si>
    <t>Potraživanja za koncesije-pom.dobro</t>
  </si>
  <si>
    <t>16421</t>
  </si>
  <si>
    <t>Potraživanja za dane koncesije</t>
  </si>
  <si>
    <t>1642201</t>
  </si>
  <si>
    <t>Potraživanje za stanarinu-najam</t>
  </si>
  <si>
    <t>1642203</t>
  </si>
  <si>
    <t>Potraživanja za najam javnih površina</t>
  </si>
  <si>
    <t>1642204</t>
  </si>
  <si>
    <t>Potraživanja za zakup poslovnog prostora</t>
  </si>
  <si>
    <t>1642207</t>
  </si>
  <si>
    <t>Potraživanja za nakn.za uređ.voda-zakupci</t>
  </si>
  <si>
    <t>16422</t>
  </si>
  <si>
    <t>Potraživanja od zakupa i iznajmljivanja imovine</t>
  </si>
  <si>
    <t>21</t>
  </si>
  <si>
    <t>16423</t>
  </si>
  <si>
    <t>Potraživanja za naknade za korištenje nefinancijske imovine</t>
  </si>
  <si>
    <t>16429002</t>
  </si>
  <si>
    <t>Potraživanja za spomeničku rentu 100%</t>
  </si>
  <si>
    <t>16429003</t>
  </si>
  <si>
    <t>Naknada za zadržavanje besp.izg.zgr.u prostoru-2963</t>
  </si>
  <si>
    <t>16429000</t>
  </si>
  <si>
    <t>Potraživanje za otkopane količine neenergetskih mineralnih sirovina</t>
  </si>
  <si>
    <t>16429</t>
  </si>
  <si>
    <t>Potraživanja za ostale prihode od nefinancijske imovine</t>
  </si>
  <si>
    <t>164</t>
  </si>
  <si>
    <t>Potraživanja za prihode od imovine</t>
  </si>
  <si>
    <t>16514000</t>
  </si>
  <si>
    <t>Potraživanja za boravišnu pristojbu</t>
  </si>
  <si>
    <t>1651</t>
  </si>
  <si>
    <t>Potraživanja za upravne i administrativne pristojbe i naknade</t>
  </si>
  <si>
    <t>1652601</t>
  </si>
  <si>
    <t>Potraživanja od APN-a</t>
  </si>
  <si>
    <t>1652604</t>
  </si>
  <si>
    <t>Potraživanja za naknadu za uređenje voda-stambeni pr.</t>
  </si>
  <si>
    <t>1652605</t>
  </si>
  <si>
    <t>Potraživanja za naknadu za uređenje voda-poslovni pr.</t>
  </si>
  <si>
    <t>1652</t>
  </si>
  <si>
    <t>Potraživanja za prihode po posebnim propisima</t>
  </si>
  <si>
    <t>1653300</t>
  </si>
  <si>
    <t xml:space="preserve">Potraživanja za naknadu za priključke </t>
  </si>
  <si>
    <t>1653200</t>
  </si>
  <si>
    <t>Potraživanja za komunalnu naknadu</t>
  </si>
  <si>
    <t>1653100</t>
  </si>
  <si>
    <t>Potraživanja za komunalni doprinos</t>
  </si>
  <si>
    <t>1653</t>
  </si>
  <si>
    <t>Potraživanja za komunalne doprinose i naknade</t>
  </si>
  <si>
    <t>165</t>
  </si>
  <si>
    <t>Potraživanja za upravne i administrativne pristojbe, pristojbe po posebnim propisima</t>
  </si>
  <si>
    <t>16815000</t>
  </si>
  <si>
    <t>Potraživanja za kazne za nepropisno parkirana vozila</t>
  </si>
  <si>
    <t>16815001</t>
  </si>
  <si>
    <t>Potraživanja za kazne za parkirališta</t>
  </si>
  <si>
    <t>16815002</t>
  </si>
  <si>
    <t>Potraživanje od pauka</t>
  </si>
  <si>
    <t>1681600</t>
  </si>
  <si>
    <t xml:space="preserve">Kazne po prekršajnom nalogu-porezna uprava                                     </t>
  </si>
  <si>
    <t>1683102</t>
  </si>
  <si>
    <t>Potraživanja za ostale prihode - parnični troškovi</t>
  </si>
  <si>
    <t>1683103</t>
  </si>
  <si>
    <t>Potraživanja za ostale prihode - presuda Monte Zaro</t>
  </si>
  <si>
    <t>168</t>
  </si>
  <si>
    <t>Potraživanja za kazne i upravne mjere</t>
  </si>
  <si>
    <t>16</t>
  </si>
  <si>
    <t>Potraživanja za prihode poslovanja</t>
  </si>
  <si>
    <t>1721101
1721102
1721110
1721111
1721112</t>
  </si>
  <si>
    <t>Potraživanja od prodaje stanova</t>
  </si>
  <si>
    <t>1711101
1711103</t>
  </si>
  <si>
    <t>Potraživanja od prodaje nekretnina-zemljište</t>
  </si>
  <si>
    <t>17</t>
  </si>
  <si>
    <t>Potraživanja od prodaje nefinancijske imovine</t>
  </si>
  <si>
    <t>1291101</t>
  </si>
  <si>
    <t>Grad Pula - potraživanja za bolovanje</t>
  </si>
  <si>
    <t>1292104</t>
  </si>
  <si>
    <t>Ostala nespomenuta potraživanja</t>
  </si>
  <si>
    <t>124
1291
1292</t>
  </si>
  <si>
    <t>Ostala potraživanja za predujmove i naknade koje se refundiraju i ostala nespomenuta potraživanja</t>
  </si>
  <si>
    <t>SVEUKUPNO</t>
  </si>
  <si>
    <t>13 (9+10+11+12)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</si>
</sst>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38"/>
      <scheme val="minor"/>
    </font>
    <font>
      <b/>
      <i/>
      <sz val="18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b/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0" borderId="0" xfId="0" applyFill="1" applyBorder="1"/>
    <xf numFmtId="0" fontId="2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0" fillId="0" borderId="0" xfId="0" applyFill="1"/>
    <xf numFmtId="1" fontId="5" fillId="2" borderId="1" xfId="0" applyNumberFormat="1" applyFont="1" applyFill="1" applyBorder="1" applyAlignment="1">
      <alignment horizontal="center" wrapText="1"/>
    </xf>
    <xf numFmtId="49" fontId="5" fillId="2" borderId="1" xfId="0" applyNumberFormat="1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0" fontId="5" fillId="0" borderId="3" xfId="0" applyFont="1" applyFill="1" applyBorder="1" applyAlignment="1">
      <alignment horizontal="center" wrapText="1"/>
    </xf>
    <xf numFmtId="0" fontId="0" fillId="0" borderId="0" xfId="0" applyFill="1" applyAlignment="1"/>
    <xf numFmtId="1" fontId="3" fillId="0" borderId="1" xfId="0" applyNumberFormat="1" applyFont="1" applyFill="1" applyBorder="1" applyAlignment="1">
      <alignment horizontal="center" wrapText="1"/>
    </xf>
    <xf numFmtId="49" fontId="3" fillId="0" borderId="1" xfId="0" applyNumberFormat="1" applyFont="1" applyFill="1" applyBorder="1" applyAlignment="1">
      <alignment wrapText="1"/>
    </xf>
    <xf numFmtId="0" fontId="0" fillId="0" borderId="1" xfId="0" applyFill="1" applyBorder="1" applyAlignment="1">
      <alignment wrapText="1"/>
    </xf>
    <xf numFmtId="4" fontId="0" fillId="0" borderId="1" xfId="0" applyNumberFormat="1" applyFill="1" applyBorder="1" applyAlignment="1" applyProtection="1">
      <alignment wrapText="1"/>
      <protection locked="0"/>
    </xf>
    <xf numFmtId="4" fontId="0" fillId="0" borderId="4" xfId="0" applyNumberFormat="1" applyFill="1" applyBorder="1" applyAlignment="1" applyProtection="1">
      <alignment wrapText="1"/>
      <protection locked="0"/>
    </xf>
    <xf numFmtId="4" fontId="0" fillId="0" borderId="5" xfId="0" applyNumberFormat="1" applyFill="1" applyBorder="1" applyAlignment="1" applyProtection="1">
      <alignment wrapText="1"/>
      <protection locked="0"/>
    </xf>
    <xf numFmtId="49" fontId="0" fillId="0" borderId="1" xfId="0" applyNumberFormat="1" applyFill="1" applyBorder="1" applyAlignment="1">
      <alignment wrapText="1"/>
    </xf>
    <xf numFmtId="0" fontId="3" fillId="0" borderId="1" xfId="0" applyFont="1" applyFill="1" applyBorder="1" applyAlignment="1">
      <alignment wrapText="1"/>
    </xf>
    <xf numFmtId="4" fontId="0" fillId="0" borderId="6" xfId="0" applyNumberForma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Alignment="1">
      <alignment horizontal="center" wrapText="1"/>
    </xf>
    <xf numFmtId="49" fontId="6" fillId="2" borderId="1" xfId="0" applyNumberFormat="1" applyFont="1" applyFill="1" applyBorder="1" applyAlignment="1">
      <alignment wrapText="1"/>
    </xf>
    <xf numFmtId="0" fontId="6" fillId="2" borderId="1" xfId="0" applyFont="1" applyFill="1" applyBorder="1" applyAlignment="1">
      <alignment wrapText="1"/>
    </xf>
    <xf numFmtId="4" fontId="6" fillId="2" borderId="1" xfId="0" applyNumberFormat="1" applyFont="1" applyFill="1" applyBorder="1" applyAlignment="1">
      <alignment wrapText="1"/>
    </xf>
    <xf numFmtId="4" fontId="6" fillId="0" borderId="3" xfId="0" applyNumberFormat="1" applyFont="1" applyFill="1" applyBorder="1" applyAlignment="1">
      <alignment wrapText="1"/>
    </xf>
    <xf numFmtId="0" fontId="7" fillId="0" borderId="0" xfId="0" applyFont="1" applyFill="1" applyAlignment="1"/>
    <xf numFmtId="1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0" fontId="0" fillId="0" borderId="1" xfId="0" applyFill="1" applyBorder="1" applyAlignment="1">
      <alignment vertical="center" wrapText="1"/>
    </xf>
    <xf numFmtId="4" fontId="3" fillId="0" borderId="1" xfId="0" applyNumberFormat="1" applyFont="1" applyFill="1" applyBorder="1" applyAlignment="1" applyProtection="1">
      <alignment vertical="center" wrapText="1"/>
      <protection locked="0"/>
    </xf>
    <xf numFmtId="4" fontId="0" fillId="0" borderId="1" xfId="0" applyNumberFormat="1" applyFill="1" applyBorder="1" applyAlignment="1" applyProtection="1">
      <alignment vertical="center" wrapText="1"/>
      <protection locked="0"/>
    </xf>
    <xf numFmtId="4" fontId="0" fillId="0" borderId="2" xfId="0" applyNumberFormat="1" applyFill="1" applyBorder="1" applyAlignment="1" applyProtection="1">
      <alignment vertical="center" wrapText="1"/>
      <protection locked="0"/>
    </xf>
    <xf numFmtId="0" fontId="0" fillId="0" borderId="0" xfId="0" applyFill="1" applyAlignment="1">
      <alignment vertical="center"/>
    </xf>
    <xf numFmtId="49" fontId="6" fillId="2" borderId="1" xfId="0" applyNumberFormat="1" applyFont="1" applyFill="1" applyBorder="1" applyAlignment="1">
      <alignment horizontal="left" wrapText="1"/>
    </xf>
    <xf numFmtId="4" fontId="6" fillId="2" borderId="1" xfId="0" applyNumberFormat="1" applyFont="1" applyFill="1" applyBorder="1" applyAlignment="1" applyProtection="1">
      <alignment wrapText="1"/>
      <protection locked="0"/>
    </xf>
    <xf numFmtId="4" fontId="6" fillId="0" borderId="3" xfId="0" applyNumberFormat="1" applyFont="1" applyFill="1" applyBorder="1" applyAlignment="1" applyProtection="1">
      <alignment wrapText="1"/>
      <protection locked="0"/>
    </xf>
    <xf numFmtId="4" fontId="3" fillId="0" borderId="1" xfId="0" applyNumberFormat="1" applyFont="1" applyFill="1" applyBorder="1" applyAlignment="1" applyProtection="1">
      <alignment horizontal="right" wrapText="1"/>
      <protection locked="0"/>
    </xf>
    <xf numFmtId="4" fontId="0" fillId="0" borderId="1" xfId="0" applyNumberFormat="1" applyFill="1" applyBorder="1" applyAlignment="1" applyProtection="1">
      <alignment horizontal="right" wrapText="1"/>
      <protection locked="0"/>
    </xf>
    <xf numFmtId="49" fontId="8" fillId="0" borderId="1" xfId="0" applyNumberFormat="1" applyFont="1" applyFill="1" applyBorder="1" applyAlignment="1">
      <alignment horizontal="center" wrapText="1"/>
    </xf>
    <xf numFmtId="49" fontId="8" fillId="0" borderId="1" xfId="0" applyNumberFormat="1" applyFont="1" applyFill="1" applyBorder="1" applyAlignment="1">
      <alignment wrapText="1"/>
    </xf>
    <xf numFmtId="0" fontId="8" fillId="0" borderId="1" xfId="0" applyFont="1" applyFill="1" applyBorder="1" applyAlignment="1">
      <alignment wrapText="1"/>
    </xf>
    <xf numFmtId="4" fontId="8" fillId="0" borderId="1" xfId="0" applyNumberFormat="1" applyFont="1" applyFill="1" applyBorder="1" applyAlignment="1">
      <alignment wrapText="1"/>
    </xf>
    <xf numFmtId="4" fontId="8" fillId="0" borderId="3" xfId="0" applyNumberFormat="1" applyFont="1" applyFill="1" applyBorder="1" applyAlignment="1">
      <alignment wrapText="1"/>
    </xf>
    <xf numFmtId="1" fontId="8" fillId="0" borderId="1" xfId="0" applyNumberFormat="1" applyFont="1" applyFill="1" applyBorder="1" applyAlignment="1">
      <alignment horizontal="center" wrapText="1"/>
    </xf>
    <xf numFmtId="4" fontId="8" fillId="0" borderId="6" xfId="0" applyNumberFormat="1" applyFont="1" applyFill="1" applyBorder="1" applyAlignment="1">
      <alignment wrapText="1"/>
    </xf>
    <xf numFmtId="49" fontId="3" fillId="0" borderId="1" xfId="0" applyNumberFormat="1" applyFont="1" applyFill="1" applyBorder="1" applyAlignment="1">
      <alignment horizontal="center" wrapText="1"/>
    </xf>
    <xf numFmtId="4" fontId="3" fillId="0" borderId="1" xfId="0" applyNumberFormat="1" applyFont="1" applyFill="1" applyBorder="1" applyAlignment="1" applyProtection="1">
      <alignment wrapText="1"/>
      <protection locked="0"/>
    </xf>
    <xf numFmtId="49" fontId="6" fillId="0" borderId="1" xfId="0" applyNumberFormat="1" applyFont="1" applyFill="1" applyBorder="1" applyAlignment="1">
      <alignment horizontal="center" wrapText="1"/>
    </xf>
    <xf numFmtId="49" fontId="6" fillId="0" borderId="1" xfId="0" applyNumberFormat="1" applyFont="1" applyFill="1" applyBorder="1" applyAlignment="1">
      <alignment horizontal="left" wrapText="1"/>
    </xf>
    <xf numFmtId="0" fontId="6" fillId="0" borderId="1" xfId="0" applyFont="1" applyFill="1" applyBorder="1" applyAlignment="1">
      <alignment wrapText="1"/>
    </xf>
    <xf numFmtId="4" fontId="6" fillId="0" borderId="1" xfId="0" applyNumberFormat="1" applyFont="1" applyFill="1" applyBorder="1" applyAlignment="1">
      <alignment wrapText="1"/>
    </xf>
    <xf numFmtId="4" fontId="6" fillId="0" borderId="1" xfId="0" applyNumberFormat="1" applyFont="1" applyFill="1" applyBorder="1" applyAlignment="1" applyProtection="1">
      <alignment wrapText="1"/>
      <protection locked="0"/>
    </xf>
    <xf numFmtId="49" fontId="3" fillId="0" borderId="1" xfId="0" applyNumberFormat="1" applyFont="1" applyFill="1" applyBorder="1" applyAlignment="1">
      <alignment horizontal="left" wrapText="1"/>
    </xf>
    <xf numFmtId="0" fontId="3" fillId="0" borderId="1" xfId="0" applyFont="1" applyFill="1" applyBorder="1" applyAlignment="1">
      <alignment vertical="center" wrapText="1"/>
    </xf>
    <xf numFmtId="4" fontId="0" fillId="0" borderId="1" xfId="0" applyNumberFormat="1" applyFill="1" applyBorder="1" applyAlignment="1" applyProtection="1">
      <alignment horizontal="right" vertical="center" wrapText="1"/>
      <protection locked="0"/>
    </xf>
    <xf numFmtId="4" fontId="0" fillId="0" borderId="5" xfId="0" applyNumberFormat="1" applyFill="1" applyBorder="1" applyAlignment="1" applyProtection="1">
      <alignment vertical="center" wrapText="1"/>
      <protection locked="0"/>
    </xf>
    <xf numFmtId="49" fontId="8" fillId="0" borderId="1" xfId="0" applyNumberFormat="1" applyFont="1" applyFill="1" applyBorder="1" applyAlignment="1">
      <alignment horizontal="left" wrapText="1"/>
    </xf>
    <xf numFmtId="4" fontId="8" fillId="0" borderId="1" xfId="0" applyNumberFormat="1" applyFont="1" applyFill="1" applyBorder="1" applyAlignment="1" applyProtection="1">
      <alignment horizontal="right" wrapText="1"/>
      <protection locked="0"/>
    </xf>
    <xf numFmtId="4" fontId="8" fillId="0" borderId="3" xfId="0" applyNumberFormat="1" applyFont="1" applyFill="1" applyBorder="1" applyAlignment="1" applyProtection="1">
      <alignment horizontal="right" wrapText="1"/>
      <protection locked="0"/>
    </xf>
    <xf numFmtId="1" fontId="6" fillId="2" borderId="1" xfId="0" applyNumberFormat="1" applyFont="1" applyFill="1" applyBorder="1" applyAlignment="1">
      <alignment horizontal="center" wrapText="1"/>
    </xf>
    <xf numFmtId="4" fontId="6" fillId="2" borderId="1" xfId="0" applyNumberFormat="1" applyFont="1" applyFill="1" applyBorder="1" applyAlignment="1" applyProtection="1">
      <alignment horizontal="right" wrapText="1"/>
      <protection locked="0"/>
    </xf>
    <xf numFmtId="4" fontId="6" fillId="0" borderId="3" xfId="0" applyNumberFormat="1" applyFont="1" applyFill="1" applyBorder="1" applyAlignment="1" applyProtection="1">
      <alignment horizontal="right" wrapText="1"/>
      <protection locked="0"/>
    </xf>
    <xf numFmtId="4" fontId="0" fillId="0" borderId="7" xfId="0" applyNumberFormat="1" applyFill="1" applyBorder="1" applyAlignment="1" applyProtection="1">
      <alignment wrapText="1"/>
      <protection locked="0"/>
    </xf>
    <xf numFmtId="0" fontId="8" fillId="0" borderId="1" xfId="0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left" wrapText="1"/>
    </xf>
    <xf numFmtId="4" fontId="0" fillId="0" borderId="8" xfId="0" applyNumberFormat="1" applyFill="1" applyBorder="1" applyAlignment="1" applyProtection="1">
      <alignment wrapText="1"/>
      <protection locked="0"/>
    </xf>
    <xf numFmtId="4" fontId="0" fillId="0" borderId="9" xfId="0" applyNumberFormat="1" applyFill="1" applyBorder="1" applyAlignment="1" applyProtection="1">
      <alignment wrapText="1"/>
      <protection locked="0"/>
    </xf>
    <xf numFmtId="4" fontId="8" fillId="0" borderId="1" xfId="0" applyNumberFormat="1" applyFont="1" applyFill="1" applyBorder="1" applyAlignment="1" applyProtection="1">
      <alignment wrapText="1"/>
      <protection locked="0"/>
    </xf>
    <xf numFmtId="4" fontId="8" fillId="0" borderId="3" xfId="0" applyNumberFormat="1" applyFont="1" applyFill="1" applyBorder="1" applyAlignment="1" applyProtection="1">
      <alignment wrapText="1"/>
      <protection locked="0"/>
    </xf>
    <xf numFmtId="4" fontId="6" fillId="0" borderId="10" xfId="0" applyNumberFormat="1" applyFont="1" applyFill="1" applyBorder="1" applyAlignment="1" applyProtection="1">
      <alignment wrapText="1"/>
      <protection locked="0"/>
    </xf>
    <xf numFmtId="0" fontId="0" fillId="0" borderId="1" xfId="0" applyFill="1" applyBorder="1" applyAlignment="1">
      <alignment horizontal="left" wrapText="1"/>
    </xf>
    <xf numFmtId="1" fontId="6" fillId="2" borderId="1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vertical="center" wrapText="1"/>
    </xf>
    <xf numFmtId="4" fontId="6" fillId="2" borderId="1" xfId="0" applyNumberFormat="1" applyFont="1" applyFill="1" applyBorder="1" applyAlignment="1" applyProtection="1">
      <alignment vertical="center" wrapText="1"/>
      <protection locked="0"/>
    </xf>
    <xf numFmtId="4" fontId="6" fillId="0" borderId="3" xfId="0" applyNumberFormat="1" applyFont="1" applyFill="1" applyBorder="1" applyAlignment="1" applyProtection="1">
      <alignment vertical="center" wrapText="1"/>
      <protection locked="0"/>
    </xf>
    <xf numFmtId="0" fontId="7" fillId="0" borderId="0" xfId="0" applyFont="1" applyFill="1" applyAlignment="1">
      <alignment vertical="center"/>
    </xf>
    <xf numFmtId="0" fontId="6" fillId="2" borderId="1" xfId="0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vertical="center" wrapText="1"/>
    </xf>
    <xf numFmtId="4" fontId="6" fillId="0" borderId="3" xfId="0" applyNumberFormat="1" applyFont="1" applyFill="1" applyBorder="1" applyAlignment="1">
      <alignment vertical="center" wrapText="1"/>
    </xf>
    <xf numFmtId="4" fontId="0" fillId="0" borderId="0" xfId="0" applyNumberFormat="1" applyFill="1"/>
    <xf numFmtId="0" fontId="1" fillId="0" borderId="0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58"/>
  <sheetViews>
    <sheetView tabSelected="1" topLeftCell="A29" zoomScaleNormal="100" workbookViewId="0">
      <selection activeCell="A55" sqref="A55"/>
    </sheetView>
  </sheetViews>
  <sheetFormatPr defaultRowHeight="15"/>
  <cols>
    <col min="1" max="1" width="5.85546875" style="7" customWidth="1"/>
    <col min="2" max="2" width="10" style="7" customWidth="1"/>
    <col min="3" max="3" width="46.5703125" style="7" customWidth="1"/>
    <col min="4" max="4" width="17" style="7" bestFit="1" customWidth="1"/>
    <col min="5" max="5" width="15.7109375" style="7" bestFit="1" customWidth="1"/>
    <col min="6" max="6" width="15.5703125" style="7" bestFit="1" customWidth="1"/>
    <col min="7" max="7" width="15.7109375" style="7" bestFit="1" customWidth="1"/>
    <col min="8" max="8" width="15.5703125" style="7" bestFit="1" customWidth="1"/>
    <col min="9" max="9" width="16.7109375" style="7" hidden="1" customWidth="1"/>
    <col min="10" max="10" width="15.42578125" style="7" customWidth="1"/>
    <col min="11" max="12" width="15.5703125" style="7" bestFit="1" customWidth="1"/>
    <col min="13" max="13" width="13.42578125" style="7" bestFit="1" customWidth="1"/>
    <col min="14" max="14" width="14.28515625" style="7" bestFit="1" customWidth="1"/>
    <col min="15" max="15" width="15.7109375" style="7" bestFit="1" customWidth="1"/>
    <col min="16" max="16" width="15.42578125" style="7" hidden="1" customWidth="1"/>
    <col min="17" max="17" width="10.5703125" style="7" customWidth="1"/>
    <col min="18" max="16384" width="9.140625" style="7"/>
  </cols>
  <sheetData>
    <row r="1" spans="1:16" s="1" customFormat="1" ht="23.25">
      <c r="A1" s="83" t="s">
        <v>0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</row>
    <row r="2" spans="1:16" ht="48.75" thickBot="1">
      <c r="A2" s="2" t="s">
        <v>1</v>
      </c>
      <c r="B2" s="2" t="s">
        <v>2</v>
      </c>
      <c r="C2" s="3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5" t="s">
        <v>11</v>
      </c>
      <c r="L2" s="5" t="s">
        <v>12</v>
      </c>
      <c r="M2" s="4" t="s">
        <v>13</v>
      </c>
      <c r="N2" s="5" t="s">
        <v>14</v>
      </c>
      <c r="O2" s="5" t="s">
        <v>15</v>
      </c>
      <c r="P2" s="6" t="s">
        <v>16</v>
      </c>
    </row>
    <row r="3" spans="1:16" s="12" customFormat="1" ht="15.75" thickBot="1">
      <c r="A3" s="8">
        <v>0</v>
      </c>
      <c r="B3" s="9" t="s">
        <v>17</v>
      </c>
      <c r="C3" s="10">
        <v>2</v>
      </c>
      <c r="D3" s="10">
        <v>3</v>
      </c>
      <c r="E3" s="10">
        <v>4</v>
      </c>
      <c r="F3" s="10">
        <v>5</v>
      </c>
      <c r="G3" s="10">
        <v>6</v>
      </c>
      <c r="H3" s="10">
        <v>7</v>
      </c>
      <c r="I3" s="10">
        <v>16</v>
      </c>
      <c r="J3" s="10">
        <v>8</v>
      </c>
      <c r="K3" s="10">
        <v>9</v>
      </c>
      <c r="L3" s="10">
        <v>10</v>
      </c>
      <c r="M3" s="10">
        <v>11</v>
      </c>
      <c r="N3" s="10">
        <v>12</v>
      </c>
      <c r="O3" s="10" t="s">
        <v>123</v>
      </c>
      <c r="P3" s="11" t="s">
        <v>18</v>
      </c>
    </row>
    <row r="4" spans="1:16" s="12" customFormat="1">
      <c r="A4" s="13">
        <v>1</v>
      </c>
      <c r="B4" s="14" t="s">
        <v>19</v>
      </c>
      <c r="C4" s="15" t="s">
        <v>20</v>
      </c>
      <c r="D4" s="16">
        <v>6719.81</v>
      </c>
      <c r="E4" s="16">
        <f>D4-F4</f>
        <v>6131.81</v>
      </c>
      <c r="F4" s="16">
        <v>588</v>
      </c>
      <c r="G4" s="16">
        <f>E4-H4</f>
        <v>3509.3400000000006</v>
      </c>
      <c r="H4" s="16">
        <f>3210.47-F4</f>
        <v>2622.47</v>
      </c>
      <c r="I4" s="16">
        <v>0</v>
      </c>
      <c r="J4" s="16">
        <v>8396.11</v>
      </c>
      <c r="K4" s="16">
        <v>0</v>
      </c>
      <c r="L4" s="16">
        <v>0</v>
      </c>
      <c r="M4" s="16">
        <v>0</v>
      </c>
      <c r="N4" s="16">
        <f>1861.82+559.64</f>
        <v>2421.46</v>
      </c>
      <c r="O4" s="16">
        <f>K4+L4+M4+N4</f>
        <v>2421.46</v>
      </c>
      <c r="P4" s="17">
        <f>E4-O4</f>
        <v>3710.3500000000004</v>
      </c>
    </row>
    <row r="5" spans="1:16" s="12" customFormat="1">
      <c r="A5" s="13">
        <v>2</v>
      </c>
      <c r="B5" s="14" t="s">
        <v>21</v>
      </c>
      <c r="C5" s="15" t="s">
        <v>22</v>
      </c>
      <c r="D5" s="16">
        <v>1083208.79</v>
      </c>
      <c r="E5" s="16">
        <f>D5-F5</f>
        <v>1079853.3600000001</v>
      </c>
      <c r="F5" s="16">
        <v>3355.43</v>
      </c>
      <c r="G5" s="16">
        <f>E5-H5</f>
        <v>1047582.5300000001</v>
      </c>
      <c r="H5" s="16">
        <f>35626.26-F5</f>
        <v>32270.83</v>
      </c>
      <c r="I5" s="16">
        <v>0</v>
      </c>
      <c r="J5" s="16">
        <v>164954.91</v>
      </c>
      <c r="K5" s="16">
        <f>129610.39+45068.13</f>
        <v>174678.52</v>
      </c>
      <c r="L5" s="16">
        <f>62129.34+3113.6</f>
        <v>65242.939999999995</v>
      </c>
      <c r="M5" s="16">
        <v>0</v>
      </c>
      <c r="N5" s="16">
        <f>594767.13+318024.96-72860.19</f>
        <v>839931.90000000014</v>
      </c>
      <c r="O5" s="16">
        <f>K5+L5+M5+N5</f>
        <v>1079853.3600000001</v>
      </c>
      <c r="P5" s="18">
        <f t="shared" ref="P5:P53" si="0">E5-O5</f>
        <v>0</v>
      </c>
    </row>
    <row r="6" spans="1:16" s="12" customFormat="1">
      <c r="A6" s="13">
        <v>3</v>
      </c>
      <c r="B6" s="14" t="s">
        <v>23</v>
      </c>
      <c r="C6" s="15" t="s">
        <v>24</v>
      </c>
      <c r="D6" s="16">
        <v>516103.75</v>
      </c>
      <c r="E6" s="16">
        <f>D6-F6</f>
        <v>516103.75</v>
      </c>
      <c r="F6" s="16">
        <v>0</v>
      </c>
      <c r="G6" s="16">
        <f>E6-H6</f>
        <v>265115.81</v>
      </c>
      <c r="H6" s="16">
        <v>250987.94</v>
      </c>
      <c r="I6" s="16">
        <v>0</v>
      </c>
      <c r="J6" s="16">
        <v>829104.85</v>
      </c>
      <c r="K6" s="16">
        <f>46269.49+8947.33</f>
        <v>55216.82</v>
      </c>
      <c r="L6" s="16">
        <v>2146.75</v>
      </c>
      <c r="M6" s="16">
        <v>0</v>
      </c>
      <c r="N6" s="16">
        <f>337110.61+94615.4</f>
        <v>431726.01</v>
      </c>
      <c r="O6" s="16">
        <f>K6+L6+M6+N6</f>
        <v>489089.58</v>
      </c>
      <c r="P6" s="18">
        <f t="shared" si="0"/>
        <v>27014.169999999984</v>
      </c>
    </row>
    <row r="7" spans="1:16" s="12" customFormat="1">
      <c r="A7" s="13">
        <v>4</v>
      </c>
      <c r="B7" s="19">
        <v>1613101</v>
      </c>
      <c r="C7" s="15" t="s">
        <v>25</v>
      </c>
      <c r="D7" s="16">
        <v>618370.43000000005</v>
      </c>
      <c r="E7" s="16">
        <f>D7-F7</f>
        <v>618370.43000000005</v>
      </c>
      <c r="F7" s="16">
        <v>0</v>
      </c>
      <c r="G7" s="16">
        <f>E7-H7</f>
        <v>0</v>
      </c>
      <c r="H7" s="16">
        <v>618370.43000000005</v>
      </c>
      <c r="I7" s="16">
        <v>0</v>
      </c>
      <c r="J7" s="16">
        <v>395764.55</v>
      </c>
      <c r="K7" s="16">
        <v>38520</v>
      </c>
      <c r="L7" s="16">
        <v>0</v>
      </c>
      <c r="M7" s="16">
        <v>260063.4</v>
      </c>
      <c r="N7" s="16">
        <v>122893.36</v>
      </c>
      <c r="O7" s="16">
        <f>K7+L7+M7+N7</f>
        <v>421476.76</v>
      </c>
      <c r="P7" s="18">
        <f t="shared" si="0"/>
        <v>196893.67000000004</v>
      </c>
    </row>
    <row r="8" spans="1:16" s="12" customFormat="1" ht="15.75" thickBot="1">
      <c r="A8" s="13">
        <v>5</v>
      </c>
      <c r="B8" s="14" t="s">
        <v>26</v>
      </c>
      <c r="C8" s="20" t="s">
        <v>27</v>
      </c>
      <c r="D8" s="16">
        <v>5228498.01</v>
      </c>
      <c r="E8" s="16">
        <f>D8-F8</f>
        <v>5228498.01</v>
      </c>
      <c r="F8" s="16">
        <v>0</v>
      </c>
      <c r="G8" s="16">
        <f>E8-H8</f>
        <v>3470180.28</v>
      </c>
      <c r="H8" s="16">
        <v>1758317.73</v>
      </c>
      <c r="I8" s="16"/>
      <c r="J8" s="16">
        <v>0</v>
      </c>
      <c r="K8" s="16">
        <v>70724.460000000006</v>
      </c>
      <c r="L8" s="16">
        <v>0</v>
      </c>
      <c r="M8" s="16">
        <v>0</v>
      </c>
      <c r="N8" s="16">
        <v>0</v>
      </c>
      <c r="O8" s="16">
        <f>K8+L8+M8+N8</f>
        <v>70724.460000000006</v>
      </c>
      <c r="P8" s="21">
        <f t="shared" si="0"/>
        <v>5157773.55</v>
      </c>
    </row>
    <row r="9" spans="1:16" s="27" customFormat="1" ht="15.75" thickBot="1">
      <c r="A9" s="22" t="s">
        <v>28</v>
      </c>
      <c r="B9" s="23" t="s">
        <v>29</v>
      </c>
      <c r="C9" s="24" t="s">
        <v>30</v>
      </c>
      <c r="D9" s="25">
        <f>SUM(D4:D8)</f>
        <v>7452900.79</v>
      </c>
      <c r="E9" s="25">
        <f t="shared" ref="E9:P9" si="1">SUM(E4:E8)</f>
        <v>7448957.3599999994</v>
      </c>
      <c r="F9" s="25">
        <f t="shared" si="1"/>
        <v>3943.43</v>
      </c>
      <c r="G9" s="25">
        <f t="shared" si="1"/>
        <v>4786387.96</v>
      </c>
      <c r="H9" s="25">
        <f t="shared" si="1"/>
        <v>2662569.4</v>
      </c>
      <c r="I9" s="25">
        <f t="shared" si="1"/>
        <v>0</v>
      </c>
      <c r="J9" s="25">
        <f t="shared" si="1"/>
        <v>1398220.42</v>
      </c>
      <c r="K9" s="25">
        <f t="shared" si="1"/>
        <v>339139.8</v>
      </c>
      <c r="L9" s="25">
        <f t="shared" si="1"/>
        <v>67389.69</v>
      </c>
      <c r="M9" s="25">
        <f t="shared" si="1"/>
        <v>260063.4</v>
      </c>
      <c r="N9" s="25">
        <f t="shared" si="1"/>
        <v>1396972.7300000002</v>
      </c>
      <c r="O9" s="25">
        <f t="shared" si="1"/>
        <v>2063565.62</v>
      </c>
      <c r="P9" s="26">
        <f t="shared" si="1"/>
        <v>5385391.7400000002</v>
      </c>
    </row>
    <row r="10" spans="1:16" s="34" customFormat="1" ht="30.75" thickBot="1">
      <c r="A10" s="28">
        <v>7</v>
      </c>
      <c r="B10" s="29" t="s">
        <v>31</v>
      </c>
      <c r="C10" s="30" t="s">
        <v>32</v>
      </c>
      <c r="D10" s="32">
        <v>44078.080000000002</v>
      </c>
      <c r="E10" s="32">
        <f>D10-F10</f>
        <v>44078.080000000002</v>
      </c>
      <c r="F10" s="31">
        <v>0</v>
      </c>
      <c r="G10" s="32">
        <f>E10-H10</f>
        <v>0</v>
      </c>
      <c r="H10" s="31">
        <v>44078.080000000002</v>
      </c>
      <c r="I10" s="31">
        <v>0</v>
      </c>
      <c r="J10" s="31">
        <v>0</v>
      </c>
      <c r="K10" s="31">
        <v>0</v>
      </c>
      <c r="L10" s="31">
        <v>0</v>
      </c>
      <c r="M10" s="31">
        <v>0</v>
      </c>
      <c r="N10" s="31">
        <v>0</v>
      </c>
      <c r="O10" s="32">
        <f>K10+L10+M10+N10</f>
        <v>0</v>
      </c>
      <c r="P10" s="33">
        <f>E10-O10</f>
        <v>44078.080000000002</v>
      </c>
    </row>
    <row r="11" spans="1:16" s="27" customFormat="1" ht="15.75" thickBot="1">
      <c r="A11" s="22" t="s">
        <v>33</v>
      </c>
      <c r="B11" s="35" t="s">
        <v>34</v>
      </c>
      <c r="C11" s="24" t="s">
        <v>35</v>
      </c>
      <c r="D11" s="36">
        <f t="shared" ref="D11:P11" si="2">SUM(D10:D10)</f>
        <v>44078.080000000002</v>
      </c>
      <c r="E11" s="36">
        <f t="shared" si="2"/>
        <v>44078.080000000002</v>
      </c>
      <c r="F11" s="36">
        <f t="shared" si="2"/>
        <v>0</v>
      </c>
      <c r="G11" s="36">
        <f t="shared" si="2"/>
        <v>0</v>
      </c>
      <c r="H11" s="36">
        <f t="shared" si="2"/>
        <v>44078.080000000002</v>
      </c>
      <c r="I11" s="36">
        <f t="shared" si="2"/>
        <v>0</v>
      </c>
      <c r="J11" s="36">
        <f t="shared" si="2"/>
        <v>0</v>
      </c>
      <c r="K11" s="36">
        <f t="shared" si="2"/>
        <v>0</v>
      </c>
      <c r="L11" s="36">
        <f t="shared" si="2"/>
        <v>0</v>
      </c>
      <c r="M11" s="36">
        <f t="shared" si="2"/>
        <v>0</v>
      </c>
      <c r="N11" s="36">
        <f t="shared" si="2"/>
        <v>0</v>
      </c>
      <c r="O11" s="36">
        <f t="shared" si="2"/>
        <v>0</v>
      </c>
      <c r="P11" s="37">
        <f t="shared" si="2"/>
        <v>44078.080000000002</v>
      </c>
    </row>
    <row r="12" spans="1:16" s="12" customFormat="1" ht="26.25">
      <c r="A12" s="13">
        <v>9</v>
      </c>
      <c r="B12" s="14" t="s">
        <v>36</v>
      </c>
      <c r="C12" s="20" t="s">
        <v>37</v>
      </c>
      <c r="D12" s="16">
        <v>1021922.76</v>
      </c>
      <c r="E12" s="16">
        <v>1021922.76</v>
      </c>
      <c r="F12" s="16">
        <v>0</v>
      </c>
      <c r="G12" s="16">
        <v>1021922.76</v>
      </c>
      <c r="H12" s="16">
        <v>0</v>
      </c>
      <c r="I12" s="16">
        <v>0</v>
      </c>
      <c r="J12" s="38">
        <v>0</v>
      </c>
      <c r="K12" s="39">
        <v>0</v>
      </c>
      <c r="L12" s="39">
        <v>0</v>
      </c>
      <c r="M12" s="39">
        <v>0</v>
      </c>
      <c r="N12" s="16">
        <v>836898.36</v>
      </c>
      <c r="O12" s="16">
        <f>K12+L12+M12+N12</f>
        <v>836898.36</v>
      </c>
      <c r="P12" s="17">
        <f t="shared" si="0"/>
        <v>185024.40000000002</v>
      </c>
    </row>
    <row r="13" spans="1:16" s="12" customFormat="1" ht="26.25">
      <c r="A13" s="13">
        <v>10</v>
      </c>
      <c r="B13" s="14" t="s">
        <v>36</v>
      </c>
      <c r="C13" s="20" t="s">
        <v>38</v>
      </c>
      <c r="D13" s="16">
        <v>1410998.67</v>
      </c>
      <c r="E13" s="16">
        <f t="shared" ref="E13" si="3">D13-F13</f>
        <v>1410998.67</v>
      </c>
      <c r="F13" s="16">
        <v>0</v>
      </c>
      <c r="G13" s="16">
        <f t="shared" ref="G13" si="4">E13-H13</f>
        <v>1410998.67</v>
      </c>
      <c r="H13" s="16">
        <v>0</v>
      </c>
      <c r="I13" s="16">
        <v>0</v>
      </c>
      <c r="J13" s="16">
        <v>0</v>
      </c>
      <c r="K13" s="39">
        <v>1260029.6499999999</v>
      </c>
      <c r="L13" s="39">
        <v>0</v>
      </c>
      <c r="M13" s="39">
        <v>0</v>
      </c>
      <c r="N13" s="16">
        <v>0</v>
      </c>
      <c r="O13" s="16">
        <f>K13+L13+M13+N13</f>
        <v>1260029.6499999999</v>
      </c>
      <c r="P13" s="18">
        <f t="shared" si="0"/>
        <v>150969.02000000002</v>
      </c>
    </row>
    <row r="14" spans="1:16" s="12" customFormat="1" ht="15.75" thickBot="1">
      <c r="A14" s="13">
        <v>11</v>
      </c>
      <c r="B14" s="14" t="s">
        <v>36</v>
      </c>
      <c r="C14" s="20" t="s">
        <v>39</v>
      </c>
      <c r="D14" s="16">
        <v>234299.85</v>
      </c>
      <c r="E14" s="16">
        <v>202439.09</v>
      </c>
      <c r="F14" s="16">
        <v>31860.76</v>
      </c>
      <c r="G14" s="16">
        <v>202439.09</v>
      </c>
      <c r="H14" s="16">
        <v>0</v>
      </c>
      <c r="I14" s="16">
        <v>31860.76</v>
      </c>
      <c r="J14" s="39">
        <v>3989.04</v>
      </c>
      <c r="K14" s="39">
        <v>0</v>
      </c>
      <c r="L14" s="39">
        <v>0</v>
      </c>
      <c r="M14" s="39">
        <v>0</v>
      </c>
      <c r="N14" s="16">
        <v>115742.07</v>
      </c>
      <c r="O14" s="16">
        <f>K14+L14+M14+N14</f>
        <v>115742.07</v>
      </c>
      <c r="P14" s="21">
        <f t="shared" si="0"/>
        <v>86697.01999999999</v>
      </c>
    </row>
    <row r="15" spans="1:16" s="12" customFormat="1" ht="27" thickBot="1">
      <c r="A15" s="40" t="s">
        <v>40</v>
      </c>
      <c r="B15" s="41" t="s">
        <v>41</v>
      </c>
      <c r="C15" s="42" t="s">
        <v>42</v>
      </c>
      <c r="D15" s="43">
        <f t="shared" ref="D15:P15" si="5">SUM(D12:D14)</f>
        <v>2667221.2799999998</v>
      </c>
      <c r="E15" s="43">
        <f t="shared" si="5"/>
        <v>2635360.5199999996</v>
      </c>
      <c r="F15" s="43">
        <f t="shared" si="5"/>
        <v>31860.76</v>
      </c>
      <c r="G15" s="43">
        <f t="shared" si="5"/>
        <v>2635360.5199999996</v>
      </c>
      <c r="H15" s="43">
        <f t="shared" si="5"/>
        <v>0</v>
      </c>
      <c r="I15" s="43">
        <f t="shared" si="5"/>
        <v>31860.76</v>
      </c>
      <c r="J15" s="43">
        <f t="shared" si="5"/>
        <v>3989.04</v>
      </c>
      <c r="K15" s="43">
        <f t="shared" si="5"/>
        <v>1260029.6499999999</v>
      </c>
      <c r="L15" s="43">
        <f t="shared" si="5"/>
        <v>0</v>
      </c>
      <c r="M15" s="43">
        <f t="shared" si="5"/>
        <v>0</v>
      </c>
      <c r="N15" s="43">
        <f t="shared" si="5"/>
        <v>952640.42999999993</v>
      </c>
      <c r="O15" s="43">
        <f t="shared" si="5"/>
        <v>2212670.0799999996</v>
      </c>
      <c r="P15" s="44">
        <f t="shared" si="5"/>
        <v>422690.44000000006</v>
      </c>
    </row>
    <row r="16" spans="1:16" s="12" customFormat="1" ht="27" thickBot="1">
      <c r="A16" s="45">
        <v>13</v>
      </c>
      <c r="B16" s="41" t="s">
        <v>43</v>
      </c>
      <c r="C16" s="42" t="s">
        <v>44</v>
      </c>
      <c r="D16" s="43">
        <f t="shared" ref="D16:P16" si="6">D18+D23+D24+D28</f>
        <v>27726934.060000002</v>
      </c>
      <c r="E16" s="43">
        <f t="shared" si="6"/>
        <v>26431009.690000001</v>
      </c>
      <c r="F16" s="43">
        <f t="shared" si="6"/>
        <v>1295924.3699999999</v>
      </c>
      <c r="G16" s="43">
        <f t="shared" si="6"/>
        <v>24098092.73</v>
      </c>
      <c r="H16" s="43">
        <f t="shared" si="6"/>
        <v>2332916.96</v>
      </c>
      <c r="I16" s="43">
        <f t="shared" si="6"/>
        <v>0</v>
      </c>
      <c r="J16" s="43">
        <f t="shared" si="6"/>
        <v>1385883.58</v>
      </c>
      <c r="K16" s="43">
        <f t="shared" si="6"/>
        <v>7111128.3200000003</v>
      </c>
      <c r="L16" s="43">
        <f t="shared" si="6"/>
        <v>1865513.9900000002</v>
      </c>
      <c r="M16" s="43">
        <f t="shared" si="6"/>
        <v>1272208.03</v>
      </c>
      <c r="N16" s="43">
        <f t="shared" si="6"/>
        <v>12116946.76</v>
      </c>
      <c r="O16" s="43">
        <f t="shared" si="6"/>
        <v>22365797.099999998</v>
      </c>
      <c r="P16" s="44">
        <f t="shared" si="6"/>
        <v>4065212.59</v>
      </c>
    </row>
    <row r="17" spans="1:16" s="12" customFormat="1">
      <c r="A17" s="13">
        <v>14</v>
      </c>
      <c r="B17" s="14" t="s">
        <v>45</v>
      </c>
      <c r="C17" s="15" t="s">
        <v>46</v>
      </c>
      <c r="D17" s="16">
        <v>471229.8</v>
      </c>
      <c r="E17" s="16">
        <f t="shared" ref="E17:E22" si="7">D17-F17</f>
        <v>471229.8</v>
      </c>
      <c r="F17" s="16">
        <v>0</v>
      </c>
      <c r="G17" s="16">
        <f>E17-H17</f>
        <v>314477.3</v>
      </c>
      <c r="H17" s="16">
        <v>156752.5</v>
      </c>
      <c r="I17" s="16">
        <v>0</v>
      </c>
      <c r="J17" s="16">
        <v>0</v>
      </c>
      <c r="K17" s="16">
        <v>0</v>
      </c>
      <c r="L17" s="16">
        <v>0</v>
      </c>
      <c r="M17" s="16">
        <v>0</v>
      </c>
      <c r="N17" s="16">
        <v>345540</v>
      </c>
      <c r="O17" s="16">
        <f t="shared" ref="O17:O24" si="8">K17+L17+M17+N17</f>
        <v>345540</v>
      </c>
      <c r="P17" s="17">
        <f t="shared" si="0"/>
        <v>125689.79999999999</v>
      </c>
    </row>
    <row r="18" spans="1:16" s="12" customFormat="1" ht="15.75" thickBot="1">
      <c r="A18" s="45">
        <v>15</v>
      </c>
      <c r="B18" s="41" t="s">
        <v>47</v>
      </c>
      <c r="C18" s="42" t="s">
        <v>48</v>
      </c>
      <c r="D18" s="43">
        <f t="shared" ref="D18:P18" si="9">D17</f>
        <v>471229.8</v>
      </c>
      <c r="E18" s="43">
        <f t="shared" si="9"/>
        <v>471229.8</v>
      </c>
      <c r="F18" s="43">
        <f t="shared" si="9"/>
        <v>0</v>
      </c>
      <c r="G18" s="43">
        <f t="shared" si="9"/>
        <v>314477.3</v>
      </c>
      <c r="H18" s="43">
        <f t="shared" si="9"/>
        <v>156752.5</v>
      </c>
      <c r="I18" s="43">
        <f t="shared" si="9"/>
        <v>0</v>
      </c>
      <c r="J18" s="43">
        <f>J17</f>
        <v>0</v>
      </c>
      <c r="K18" s="43">
        <f>K17</f>
        <v>0</v>
      </c>
      <c r="L18" s="43">
        <f>L17</f>
        <v>0</v>
      </c>
      <c r="M18" s="43">
        <f t="shared" si="9"/>
        <v>0</v>
      </c>
      <c r="N18" s="43">
        <f t="shared" si="9"/>
        <v>345540</v>
      </c>
      <c r="O18" s="43">
        <f t="shared" si="9"/>
        <v>345540</v>
      </c>
      <c r="P18" s="46">
        <f t="shared" si="9"/>
        <v>125689.79999999999</v>
      </c>
    </row>
    <row r="19" spans="1:16" s="12" customFormat="1">
      <c r="A19" s="13">
        <v>16</v>
      </c>
      <c r="B19" s="14" t="s">
        <v>49</v>
      </c>
      <c r="C19" s="15" t="s">
        <v>50</v>
      </c>
      <c r="D19" s="16">
        <v>1849592.05</v>
      </c>
      <c r="E19" s="16">
        <f t="shared" si="7"/>
        <v>1849592.05</v>
      </c>
      <c r="F19" s="16">
        <v>0</v>
      </c>
      <c r="G19" s="16">
        <f>E19-H19</f>
        <v>1615149.1800000002</v>
      </c>
      <c r="H19" s="16">
        <v>234442.87</v>
      </c>
      <c r="I19" s="16">
        <v>0</v>
      </c>
      <c r="J19" s="16">
        <v>297054.39</v>
      </c>
      <c r="K19" s="16">
        <v>0</v>
      </c>
      <c r="L19" s="16">
        <v>0</v>
      </c>
      <c r="M19" s="16">
        <v>0</v>
      </c>
      <c r="N19" s="16">
        <v>1380520.06</v>
      </c>
      <c r="O19" s="16">
        <f t="shared" si="8"/>
        <v>1380520.06</v>
      </c>
      <c r="P19" s="17">
        <f t="shared" si="0"/>
        <v>469071.99</v>
      </c>
    </row>
    <row r="20" spans="1:16" s="12" customFormat="1">
      <c r="A20" s="13">
        <v>17</v>
      </c>
      <c r="B20" s="47" t="s">
        <v>51</v>
      </c>
      <c r="C20" s="15" t="s">
        <v>52</v>
      </c>
      <c r="D20" s="16">
        <v>519508.15</v>
      </c>
      <c r="E20" s="16">
        <f t="shared" si="7"/>
        <v>519508.15</v>
      </c>
      <c r="F20" s="16">
        <v>0</v>
      </c>
      <c r="G20" s="16">
        <f>E20-H20</f>
        <v>494988.10000000003</v>
      </c>
      <c r="H20" s="16">
        <v>24520.05</v>
      </c>
      <c r="I20" s="16">
        <v>0</v>
      </c>
      <c r="J20" s="16">
        <v>11955.43</v>
      </c>
      <c r="K20" s="16">
        <v>129048.84</v>
      </c>
      <c r="L20" s="16">
        <v>0</v>
      </c>
      <c r="M20" s="16">
        <v>0</v>
      </c>
      <c r="N20" s="16">
        <v>370380.27</v>
      </c>
      <c r="O20" s="16">
        <f t="shared" si="8"/>
        <v>499429.11</v>
      </c>
      <c r="P20" s="18">
        <f t="shared" si="0"/>
        <v>20079.040000000037</v>
      </c>
    </row>
    <row r="21" spans="1:16" s="12" customFormat="1">
      <c r="A21" s="13">
        <v>18</v>
      </c>
      <c r="B21" s="14" t="s">
        <v>53</v>
      </c>
      <c r="C21" s="20" t="s">
        <v>54</v>
      </c>
      <c r="D21" s="16">
        <v>13709976.77</v>
      </c>
      <c r="E21" s="16">
        <f t="shared" si="7"/>
        <v>13678846.07</v>
      </c>
      <c r="F21" s="48">
        <v>31130.7</v>
      </c>
      <c r="G21" s="16">
        <f>E21-H21</f>
        <v>12063781.890000001</v>
      </c>
      <c r="H21" s="48">
        <f>1646194.88-F21</f>
        <v>1615064.18</v>
      </c>
      <c r="I21" s="48">
        <v>0</v>
      </c>
      <c r="J21" s="48">
        <v>244273.17</v>
      </c>
      <c r="K21" s="48">
        <v>1302563.28</v>
      </c>
      <c r="L21" s="48">
        <v>1484216.73</v>
      </c>
      <c r="M21" s="48">
        <v>1272208.03</v>
      </c>
      <c r="N21" s="48">
        <v>9442684.4199999999</v>
      </c>
      <c r="O21" s="16">
        <f t="shared" si="8"/>
        <v>13501672.460000001</v>
      </c>
      <c r="P21" s="18">
        <f>E21-O21</f>
        <v>177173.6099999994</v>
      </c>
    </row>
    <row r="22" spans="1:16" s="12" customFormat="1" ht="15.75" thickBot="1">
      <c r="A22" s="13">
        <v>19</v>
      </c>
      <c r="B22" s="14" t="s">
        <v>55</v>
      </c>
      <c r="C22" s="20" t="s">
        <v>56</v>
      </c>
      <c r="D22" s="16">
        <v>169638.63</v>
      </c>
      <c r="E22" s="16">
        <f t="shared" si="7"/>
        <v>169638.63</v>
      </c>
      <c r="F22" s="39">
        <v>0</v>
      </c>
      <c r="G22" s="16">
        <f>E22-H22</f>
        <v>0</v>
      </c>
      <c r="H22" s="39">
        <v>169638.63</v>
      </c>
      <c r="I22" s="39"/>
      <c r="J22" s="39">
        <v>6863.69</v>
      </c>
      <c r="K22" s="39">
        <v>27757.62</v>
      </c>
      <c r="L22" s="39">
        <v>27747.62</v>
      </c>
      <c r="M22" s="39">
        <v>0</v>
      </c>
      <c r="N22" s="39">
        <v>89978.23</v>
      </c>
      <c r="O22" s="16">
        <f t="shared" si="8"/>
        <v>145483.47</v>
      </c>
      <c r="P22" s="21">
        <f t="shared" si="0"/>
        <v>24155.160000000003</v>
      </c>
    </row>
    <row r="23" spans="1:16" s="12" customFormat="1" ht="15.75" thickBot="1">
      <c r="A23" s="45">
        <v>20</v>
      </c>
      <c r="B23" s="41" t="s">
        <v>57</v>
      </c>
      <c r="C23" s="42" t="s">
        <v>58</v>
      </c>
      <c r="D23" s="43">
        <f>SUM(D19:D22)</f>
        <v>16248715.6</v>
      </c>
      <c r="E23" s="43">
        <f t="shared" ref="E23:P23" si="10">SUM(E19:E22)</f>
        <v>16217584.9</v>
      </c>
      <c r="F23" s="43">
        <f t="shared" si="10"/>
        <v>31130.7</v>
      </c>
      <c r="G23" s="43">
        <f t="shared" si="10"/>
        <v>14173919.170000002</v>
      </c>
      <c r="H23" s="43">
        <f t="shared" si="10"/>
        <v>2043665.73</v>
      </c>
      <c r="I23" s="43">
        <f t="shared" si="10"/>
        <v>0</v>
      </c>
      <c r="J23" s="43">
        <f t="shared" si="10"/>
        <v>560146.67999999993</v>
      </c>
      <c r="K23" s="43">
        <f t="shared" si="10"/>
        <v>1459369.7400000002</v>
      </c>
      <c r="L23" s="43">
        <f t="shared" si="10"/>
        <v>1511964.35</v>
      </c>
      <c r="M23" s="43">
        <f t="shared" si="10"/>
        <v>1272208.03</v>
      </c>
      <c r="N23" s="43">
        <f t="shared" si="10"/>
        <v>11283562.98</v>
      </c>
      <c r="O23" s="43">
        <f t="shared" si="10"/>
        <v>15527105.100000001</v>
      </c>
      <c r="P23" s="44">
        <f t="shared" si="10"/>
        <v>690479.79999999946</v>
      </c>
    </row>
    <row r="24" spans="1:16" s="27" customFormat="1" ht="30.75" thickBot="1">
      <c r="A24" s="49" t="s">
        <v>59</v>
      </c>
      <c r="B24" s="50" t="s">
        <v>60</v>
      </c>
      <c r="C24" s="51" t="s">
        <v>61</v>
      </c>
      <c r="D24" s="52">
        <v>10165005.99</v>
      </c>
      <c r="E24" s="52">
        <f t="shared" ref="E24:E27" si="11">D24-F24</f>
        <v>8915005.9900000002</v>
      </c>
      <c r="F24" s="52">
        <v>1250000</v>
      </c>
      <c r="G24" s="53">
        <f t="shared" ref="G24:G27" si="12">E24-H24</f>
        <v>8915005.9900000002</v>
      </c>
      <c r="H24" s="52">
        <v>0</v>
      </c>
      <c r="I24" s="52">
        <v>0</v>
      </c>
      <c r="J24" s="52">
        <v>0</v>
      </c>
      <c r="K24" s="52">
        <v>5550000</v>
      </c>
      <c r="L24" s="52">
        <v>210000</v>
      </c>
      <c r="M24" s="52">
        <v>0</v>
      </c>
      <c r="N24" s="52">
        <f>59813.51</f>
        <v>59813.51</v>
      </c>
      <c r="O24" s="53">
        <f t="shared" si="8"/>
        <v>5819813.5099999998</v>
      </c>
      <c r="P24" s="37">
        <f t="shared" si="0"/>
        <v>3095192.4800000004</v>
      </c>
    </row>
    <row r="25" spans="1:16" s="12" customFormat="1">
      <c r="A25" s="13">
        <v>22</v>
      </c>
      <c r="B25" s="54" t="s">
        <v>62</v>
      </c>
      <c r="C25" s="15" t="s">
        <v>63</v>
      </c>
      <c r="D25" s="16">
        <v>776761.43</v>
      </c>
      <c r="E25" s="16">
        <f t="shared" si="11"/>
        <v>765792.76</v>
      </c>
      <c r="F25" s="16">
        <v>10968.67</v>
      </c>
      <c r="G25" s="16">
        <f t="shared" si="12"/>
        <v>641645.61</v>
      </c>
      <c r="H25" s="16">
        <f>135115.82-F25</f>
        <v>124147.15000000001</v>
      </c>
      <c r="I25" s="16">
        <v>0</v>
      </c>
      <c r="J25" s="16">
        <v>800644.4</v>
      </c>
      <c r="K25" s="16">
        <v>101758.58</v>
      </c>
      <c r="L25" s="16">
        <v>143549.64000000001</v>
      </c>
      <c r="M25" s="16">
        <v>0</v>
      </c>
      <c r="N25" s="16">
        <v>385923.61</v>
      </c>
      <c r="O25" s="16">
        <f>K25+L25+M25+N25</f>
        <v>631231.83000000007</v>
      </c>
      <c r="P25" s="17">
        <f t="shared" si="0"/>
        <v>134560.92999999993</v>
      </c>
    </row>
    <row r="26" spans="1:16" s="12" customFormat="1">
      <c r="A26" s="13">
        <v>23</v>
      </c>
      <c r="B26" s="54" t="s">
        <v>64</v>
      </c>
      <c r="C26" s="20" t="s">
        <v>65</v>
      </c>
      <c r="D26" s="16">
        <v>61396.24</v>
      </c>
      <c r="E26" s="16">
        <f t="shared" si="11"/>
        <v>61396.24</v>
      </c>
      <c r="F26" s="39">
        <v>0</v>
      </c>
      <c r="G26" s="16">
        <f t="shared" si="12"/>
        <v>53044.659999999996</v>
      </c>
      <c r="H26" s="39">
        <v>8351.58</v>
      </c>
      <c r="I26" s="39">
        <v>0</v>
      </c>
      <c r="J26" s="39">
        <v>25092.5</v>
      </c>
      <c r="K26" s="39">
        <v>0</v>
      </c>
      <c r="L26" s="39">
        <v>0</v>
      </c>
      <c r="M26" s="39">
        <v>0</v>
      </c>
      <c r="N26" s="39">
        <v>42106.66</v>
      </c>
      <c r="O26" s="16">
        <f>K26+L26+M26+N26</f>
        <v>42106.66</v>
      </c>
      <c r="P26" s="18">
        <f t="shared" si="0"/>
        <v>19289.579999999994</v>
      </c>
    </row>
    <row r="27" spans="1:16" s="34" customFormat="1" ht="26.25" thickBot="1">
      <c r="A27" s="28">
        <v>24</v>
      </c>
      <c r="B27" s="29" t="s">
        <v>66</v>
      </c>
      <c r="C27" s="55" t="s">
        <v>67</v>
      </c>
      <c r="D27" s="32">
        <v>3825</v>
      </c>
      <c r="E27" s="32">
        <f t="shared" si="11"/>
        <v>0</v>
      </c>
      <c r="F27" s="56">
        <v>3825</v>
      </c>
      <c r="G27" s="32">
        <f t="shared" si="12"/>
        <v>0</v>
      </c>
      <c r="H27" s="56">
        <v>0</v>
      </c>
      <c r="I27" s="56">
        <v>0</v>
      </c>
      <c r="J27" s="56">
        <v>0</v>
      </c>
      <c r="K27" s="56">
        <v>0</v>
      </c>
      <c r="L27" s="56">
        <v>0</v>
      </c>
      <c r="M27" s="56">
        <v>0</v>
      </c>
      <c r="N27" s="56">
        <v>0</v>
      </c>
      <c r="O27" s="32">
        <f>K27+L27+M27+N27</f>
        <v>0</v>
      </c>
      <c r="P27" s="57">
        <f t="shared" si="0"/>
        <v>0</v>
      </c>
    </row>
    <row r="28" spans="1:16" s="12" customFormat="1" ht="27" thickBot="1">
      <c r="A28" s="45">
        <v>25</v>
      </c>
      <c r="B28" s="58" t="s">
        <v>68</v>
      </c>
      <c r="C28" s="42" t="s">
        <v>69</v>
      </c>
      <c r="D28" s="59">
        <f t="shared" ref="D28:P28" si="13">SUM(D25:D27)</f>
        <v>841982.67</v>
      </c>
      <c r="E28" s="59">
        <f t="shared" si="13"/>
        <v>827189</v>
      </c>
      <c r="F28" s="59">
        <f t="shared" si="13"/>
        <v>14793.67</v>
      </c>
      <c r="G28" s="59">
        <f t="shared" si="13"/>
        <v>694690.27</v>
      </c>
      <c r="H28" s="59">
        <f t="shared" si="13"/>
        <v>132498.73000000001</v>
      </c>
      <c r="I28" s="59">
        <f t="shared" si="13"/>
        <v>0</v>
      </c>
      <c r="J28" s="59">
        <f t="shared" si="13"/>
        <v>825736.9</v>
      </c>
      <c r="K28" s="59">
        <f t="shared" si="13"/>
        <v>101758.58</v>
      </c>
      <c r="L28" s="59">
        <f t="shared" si="13"/>
        <v>143549.64000000001</v>
      </c>
      <c r="M28" s="59">
        <f t="shared" si="13"/>
        <v>0</v>
      </c>
      <c r="N28" s="59">
        <f t="shared" si="13"/>
        <v>428030.27</v>
      </c>
      <c r="O28" s="59">
        <f t="shared" si="13"/>
        <v>673338.49000000011</v>
      </c>
      <c r="P28" s="60">
        <f t="shared" si="13"/>
        <v>153850.50999999992</v>
      </c>
    </row>
    <row r="29" spans="1:16" s="27" customFormat="1" ht="15.75" thickBot="1">
      <c r="A29" s="61">
        <v>26</v>
      </c>
      <c r="B29" s="35" t="s">
        <v>70</v>
      </c>
      <c r="C29" s="24" t="s">
        <v>71</v>
      </c>
      <c r="D29" s="62">
        <f t="shared" ref="D29:P29" si="14">D15+D16</f>
        <v>30394155.340000004</v>
      </c>
      <c r="E29" s="62">
        <f t="shared" si="14"/>
        <v>29066370.210000001</v>
      </c>
      <c r="F29" s="62">
        <f t="shared" si="14"/>
        <v>1327785.1299999999</v>
      </c>
      <c r="G29" s="62">
        <f t="shared" si="14"/>
        <v>26733453.25</v>
      </c>
      <c r="H29" s="62">
        <f t="shared" si="14"/>
        <v>2332916.96</v>
      </c>
      <c r="I29" s="62">
        <f t="shared" si="14"/>
        <v>31860.76</v>
      </c>
      <c r="J29" s="62">
        <f t="shared" si="14"/>
        <v>1389872.62</v>
      </c>
      <c r="K29" s="62">
        <f t="shared" si="14"/>
        <v>8371157.9700000007</v>
      </c>
      <c r="L29" s="62">
        <f t="shared" si="14"/>
        <v>1865513.9900000002</v>
      </c>
      <c r="M29" s="62">
        <f t="shared" si="14"/>
        <v>1272208.03</v>
      </c>
      <c r="N29" s="62">
        <f t="shared" si="14"/>
        <v>13069587.189999999</v>
      </c>
      <c r="O29" s="62">
        <f t="shared" si="14"/>
        <v>24578467.179999996</v>
      </c>
      <c r="P29" s="63">
        <f t="shared" si="14"/>
        <v>4487903.03</v>
      </c>
    </row>
    <row r="30" spans="1:16" s="12" customFormat="1" ht="15.75" thickBot="1">
      <c r="A30" s="13">
        <v>27</v>
      </c>
      <c r="B30" s="54" t="s">
        <v>72</v>
      </c>
      <c r="C30" s="20" t="s">
        <v>73</v>
      </c>
      <c r="D30" s="16">
        <v>157.28</v>
      </c>
      <c r="E30" s="16">
        <f>D30-F30</f>
        <v>0</v>
      </c>
      <c r="F30" s="39">
        <v>157.28</v>
      </c>
      <c r="G30" s="16">
        <f>E30-H30</f>
        <v>0</v>
      </c>
      <c r="H30" s="39">
        <v>0</v>
      </c>
      <c r="I30" s="39"/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16">
        <f t="shared" ref="O30:O38" si="15">K30+L30+M30+N30</f>
        <v>0</v>
      </c>
      <c r="P30" s="64">
        <f t="shared" si="0"/>
        <v>0</v>
      </c>
    </row>
    <row r="31" spans="1:16" s="12" customFormat="1" ht="27" thickBot="1">
      <c r="A31" s="45">
        <v>28</v>
      </c>
      <c r="B31" s="58" t="s">
        <v>74</v>
      </c>
      <c r="C31" s="65" t="s">
        <v>75</v>
      </c>
      <c r="D31" s="59">
        <f t="shared" ref="D31:O31" si="16">D30</f>
        <v>157.28</v>
      </c>
      <c r="E31" s="59">
        <f t="shared" si="16"/>
        <v>0</v>
      </c>
      <c r="F31" s="59">
        <f t="shared" si="16"/>
        <v>157.28</v>
      </c>
      <c r="G31" s="59">
        <f t="shared" si="16"/>
        <v>0</v>
      </c>
      <c r="H31" s="59">
        <f t="shared" si="16"/>
        <v>0</v>
      </c>
      <c r="I31" s="59"/>
      <c r="J31" s="59">
        <f t="shared" si="16"/>
        <v>0</v>
      </c>
      <c r="K31" s="59">
        <f t="shared" si="16"/>
        <v>0</v>
      </c>
      <c r="L31" s="59">
        <f t="shared" si="16"/>
        <v>0</v>
      </c>
      <c r="M31" s="59">
        <f t="shared" si="16"/>
        <v>0</v>
      </c>
      <c r="N31" s="59">
        <f t="shared" si="16"/>
        <v>0</v>
      </c>
      <c r="O31" s="59">
        <f t="shared" si="16"/>
        <v>0</v>
      </c>
      <c r="P31" s="60">
        <f t="shared" si="0"/>
        <v>0</v>
      </c>
    </row>
    <row r="32" spans="1:16" s="12" customFormat="1">
      <c r="A32" s="13">
        <v>29</v>
      </c>
      <c r="B32" s="54" t="s">
        <v>76</v>
      </c>
      <c r="C32" s="66" t="s">
        <v>77</v>
      </c>
      <c r="D32" s="16">
        <v>4772452.59</v>
      </c>
      <c r="E32" s="16">
        <f>D32-F32</f>
        <v>0</v>
      </c>
      <c r="F32" s="16">
        <f>D32</f>
        <v>4772452.59</v>
      </c>
      <c r="G32" s="16">
        <v>0</v>
      </c>
      <c r="H32" s="16">
        <v>0</v>
      </c>
      <c r="I32" s="16">
        <v>0</v>
      </c>
      <c r="J32" s="38">
        <v>0</v>
      </c>
      <c r="K32" s="38">
        <v>0</v>
      </c>
      <c r="L32" s="38">
        <v>0</v>
      </c>
      <c r="M32" s="38">
        <v>0</v>
      </c>
      <c r="N32" s="38">
        <v>0</v>
      </c>
      <c r="O32" s="16">
        <f t="shared" si="15"/>
        <v>0</v>
      </c>
      <c r="P32" s="17">
        <f t="shared" si="0"/>
        <v>0</v>
      </c>
    </row>
    <row r="33" spans="1:16" s="12" customFormat="1" ht="26.25">
      <c r="A33" s="13">
        <v>30</v>
      </c>
      <c r="B33" s="54" t="s">
        <v>78</v>
      </c>
      <c r="C33" s="66" t="s">
        <v>79</v>
      </c>
      <c r="D33" s="16">
        <v>2183559.7799999998</v>
      </c>
      <c r="E33" s="16">
        <f>D33-F33</f>
        <v>2183559.7799999998</v>
      </c>
      <c r="F33" s="38">
        <v>0</v>
      </c>
      <c r="G33" s="16">
        <f>E33-H33</f>
        <v>1466902.69</v>
      </c>
      <c r="H33" s="38">
        <f>4639895.88-3923238.79</f>
        <v>716657.08999999985</v>
      </c>
      <c r="I33" s="38"/>
      <c r="J33" s="38">
        <v>0</v>
      </c>
      <c r="K33" s="38">
        <v>12409.57</v>
      </c>
      <c r="L33" s="38">
        <v>3886.81</v>
      </c>
      <c r="M33" s="38">
        <v>0</v>
      </c>
      <c r="N33" s="38">
        <v>718971.05</v>
      </c>
      <c r="O33" s="16">
        <f t="shared" si="15"/>
        <v>735267.43</v>
      </c>
      <c r="P33" s="18">
        <f t="shared" si="0"/>
        <v>1448292.3499999996</v>
      </c>
    </row>
    <row r="34" spans="1:16" s="12" customFormat="1" ht="27" thickBot="1">
      <c r="A34" s="13">
        <v>31</v>
      </c>
      <c r="B34" s="54" t="s">
        <v>80</v>
      </c>
      <c r="C34" s="66" t="s">
        <v>81</v>
      </c>
      <c r="D34" s="16">
        <v>5750016.1200000001</v>
      </c>
      <c r="E34" s="16">
        <f>D34-F34</f>
        <v>5750016.1200000001</v>
      </c>
      <c r="F34" s="38">
        <v>0</v>
      </c>
      <c r="G34" s="16">
        <f>E34-H34</f>
        <v>4943952.4799999995</v>
      </c>
      <c r="H34" s="38">
        <f>8286014.19-7479950.55</f>
        <v>806063.6400000006</v>
      </c>
      <c r="I34" s="38"/>
      <c r="J34" s="38">
        <v>1642550.15</v>
      </c>
      <c r="K34" s="38">
        <v>1817308.35</v>
      </c>
      <c r="L34" s="38">
        <v>1643052.89</v>
      </c>
      <c r="M34" s="38">
        <v>0</v>
      </c>
      <c r="N34" s="38">
        <v>459884.94</v>
      </c>
      <c r="O34" s="16">
        <f t="shared" si="15"/>
        <v>3920246.18</v>
      </c>
      <c r="P34" s="67">
        <f t="shared" si="0"/>
        <v>1829769.94</v>
      </c>
    </row>
    <row r="35" spans="1:16" s="12" customFormat="1" ht="15.75" thickBot="1">
      <c r="A35" s="45">
        <v>32</v>
      </c>
      <c r="B35" s="58" t="s">
        <v>82</v>
      </c>
      <c r="C35" s="42" t="s">
        <v>83</v>
      </c>
      <c r="D35" s="59">
        <f t="shared" ref="D35:P35" si="17">SUM(D32:D34)</f>
        <v>12706028.489999998</v>
      </c>
      <c r="E35" s="59">
        <f t="shared" si="17"/>
        <v>7933575.9000000004</v>
      </c>
      <c r="F35" s="59">
        <f>SUM(F32:F34)</f>
        <v>4772452.59</v>
      </c>
      <c r="G35" s="59">
        <f>SUM(G32:G34)</f>
        <v>6410855.1699999999</v>
      </c>
      <c r="H35" s="59">
        <f>SUM(H32:H34)</f>
        <v>1522720.7300000004</v>
      </c>
      <c r="I35" s="59">
        <f>SUM(I32:I34)</f>
        <v>0</v>
      </c>
      <c r="J35" s="59">
        <f t="shared" si="17"/>
        <v>1642550.15</v>
      </c>
      <c r="K35" s="59">
        <f t="shared" si="17"/>
        <v>1829717.9200000002</v>
      </c>
      <c r="L35" s="59">
        <f t="shared" si="17"/>
        <v>1646939.7</v>
      </c>
      <c r="M35" s="59">
        <f t="shared" si="17"/>
        <v>0</v>
      </c>
      <c r="N35" s="59">
        <f t="shared" si="17"/>
        <v>1178855.99</v>
      </c>
      <c r="O35" s="59">
        <f t="shared" si="17"/>
        <v>4655513.6100000003</v>
      </c>
      <c r="P35" s="60">
        <f t="shared" si="17"/>
        <v>3278062.2899999996</v>
      </c>
    </row>
    <row r="36" spans="1:16" s="12" customFormat="1">
      <c r="A36" s="13">
        <v>33</v>
      </c>
      <c r="B36" s="54" t="s">
        <v>84</v>
      </c>
      <c r="C36" s="20" t="s">
        <v>85</v>
      </c>
      <c r="D36" s="16">
        <v>661710.52</v>
      </c>
      <c r="E36" s="16">
        <f>D36-F36</f>
        <v>661710.52</v>
      </c>
      <c r="F36" s="16">
        <v>0</v>
      </c>
      <c r="G36" s="16">
        <f>E36-H36</f>
        <v>661710.52</v>
      </c>
      <c r="H36" s="16">
        <v>0</v>
      </c>
      <c r="I36" s="16">
        <v>0</v>
      </c>
      <c r="J36" s="16">
        <v>0</v>
      </c>
      <c r="K36" s="16">
        <v>659581.11</v>
      </c>
      <c r="L36" s="16">
        <v>0</v>
      </c>
      <c r="M36" s="16">
        <v>0</v>
      </c>
      <c r="N36" s="16">
        <f>632630.24-565531-42823-22146.83</f>
        <v>2129.4099999999889</v>
      </c>
      <c r="O36" s="16">
        <f t="shared" si="15"/>
        <v>661710.52</v>
      </c>
      <c r="P36" s="68">
        <f t="shared" si="0"/>
        <v>0</v>
      </c>
    </row>
    <row r="37" spans="1:16" s="12" customFormat="1">
      <c r="A37" s="13">
        <v>34</v>
      </c>
      <c r="B37" s="54" t="s">
        <v>86</v>
      </c>
      <c r="C37" s="15" t="s">
        <v>87</v>
      </c>
      <c r="D37" s="16">
        <v>37403059.859999999</v>
      </c>
      <c r="E37" s="16">
        <f>D37-F37</f>
        <v>37316994.479999997</v>
      </c>
      <c r="F37" s="16">
        <v>86065.38</v>
      </c>
      <c r="G37" s="16">
        <f>E37-H37</f>
        <v>30615300.879999995</v>
      </c>
      <c r="H37" s="16">
        <f>6787758.98-F37</f>
        <v>6701693.6000000006</v>
      </c>
      <c r="I37" s="16">
        <v>0</v>
      </c>
      <c r="J37" s="16">
        <v>13126458.950000001</v>
      </c>
      <c r="K37" s="16">
        <f>14244304.74+46050.37</f>
        <v>14290355.109999999</v>
      </c>
      <c r="L37" s="16">
        <f>6983499.08+21565.82</f>
        <v>7005064.9000000004</v>
      </c>
      <c r="M37" s="16">
        <v>0</v>
      </c>
      <c r="N37" s="16">
        <f>8814911.6+1804900.49</f>
        <v>10619812.09</v>
      </c>
      <c r="O37" s="16">
        <f t="shared" si="15"/>
        <v>31915232.099999998</v>
      </c>
      <c r="P37" s="18">
        <f>E37-O37</f>
        <v>5401762.379999999</v>
      </c>
    </row>
    <row r="38" spans="1:16" s="12" customFormat="1" ht="15.75" thickBot="1">
      <c r="A38" s="13">
        <v>35</v>
      </c>
      <c r="B38" s="54" t="s">
        <v>88</v>
      </c>
      <c r="C38" s="15" t="s">
        <v>89</v>
      </c>
      <c r="D38" s="16">
        <v>9342722.9600000009</v>
      </c>
      <c r="E38" s="16">
        <f>D38-F38</f>
        <v>6227217.9600000009</v>
      </c>
      <c r="F38" s="16">
        <v>3115505</v>
      </c>
      <c r="G38" s="16">
        <f>E38-H38</f>
        <v>5132167.2000000011</v>
      </c>
      <c r="H38" s="16">
        <v>1095050.76</v>
      </c>
      <c r="I38" s="16">
        <v>0</v>
      </c>
      <c r="J38" s="16">
        <v>1493205.8</v>
      </c>
      <c r="K38" s="16">
        <v>1172063.3600000001</v>
      </c>
      <c r="L38" s="16">
        <v>245590.44</v>
      </c>
      <c r="M38" s="16">
        <v>0</v>
      </c>
      <c r="N38" s="16">
        <v>3794102.96</v>
      </c>
      <c r="O38" s="16">
        <f t="shared" si="15"/>
        <v>5211756.76</v>
      </c>
      <c r="P38" s="67">
        <f t="shared" si="0"/>
        <v>1015461.2000000011</v>
      </c>
    </row>
    <row r="39" spans="1:16" s="12" customFormat="1" ht="15.75" thickBot="1">
      <c r="A39" s="45">
        <v>36</v>
      </c>
      <c r="B39" s="58" t="s">
        <v>90</v>
      </c>
      <c r="C39" s="65" t="s">
        <v>91</v>
      </c>
      <c r="D39" s="69">
        <f t="shared" ref="D39:P39" si="18">SUM(D36:D38)</f>
        <v>47407493.340000004</v>
      </c>
      <c r="E39" s="69">
        <f t="shared" si="18"/>
        <v>44205922.960000001</v>
      </c>
      <c r="F39" s="69">
        <f t="shared" si="18"/>
        <v>3201570.38</v>
      </c>
      <c r="G39" s="69">
        <f t="shared" si="18"/>
        <v>36409178.599999994</v>
      </c>
      <c r="H39" s="69">
        <f t="shared" si="18"/>
        <v>7796744.3600000003</v>
      </c>
      <c r="I39" s="69">
        <f t="shared" si="18"/>
        <v>0</v>
      </c>
      <c r="J39" s="69">
        <f t="shared" si="18"/>
        <v>14619664.750000002</v>
      </c>
      <c r="K39" s="69">
        <f t="shared" si="18"/>
        <v>16121999.579999998</v>
      </c>
      <c r="L39" s="69">
        <f t="shared" si="18"/>
        <v>7250655.3400000008</v>
      </c>
      <c r="M39" s="69">
        <f t="shared" si="18"/>
        <v>0</v>
      </c>
      <c r="N39" s="69">
        <f t="shared" si="18"/>
        <v>14416044.460000001</v>
      </c>
      <c r="O39" s="69">
        <f t="shared" si="18"/>
        <v>37788699.379999995</v>
      </c>
      <c r="P39" s="70">
        <f t="shared" si="18"/>
        <v>6417223.5800000001</v>
      </c>
    </row>
    <row r="40" spans="1:16" s="27" customFormat="1" ht="30.75" thickBot="1">
      <c r="A40" s="61">
        <v>37</v>
      </c>
      <c r="B40" s="35" t="s">
        <v>92</v>
      </c>
      <c r="C40" s="24" t="s">
        <v>93</v>
      </c>
      <c r="D40" s="36">
        <f t="shared" ref="D40:P40" si="19">D31+D35+D39</f>
        <v>60113679.109999999</v>
      </c>
      <c r="E40" s="36">
        <f t="shared" si="19"/>
        <v>52139498.859999999</v>
      </c>
      <c r="F40" s="36">
        <f t="shared" si="19"/>
        <v>7974180.25</v>
      </c>
      <c r="G40" s="36">
        <f t="shared" si="19"/>
        <v>42820033.769999996</v>
      </c>
      <c r="H40" s="36">
        <f t="shared" si="19"/>
        <v>9319465.0899999999</v>
      </c>
      <c r="I40" s="36">
        <f t="shared" si="19"/>
        <v>0</v>
      </c>
      <c r="J40" s="36">
        <f t="shared" si="19"/>
        <v>16262214.900000002</v>
      </c>
      <c r="K40" s="36">
        <f t="shared" si="19"/>
        <v>17951717.5</v>
      </c>
      <c r="L40" s="36">
        <f t="shared" si="19"/>
        <v>8897595.040000001</v>
      </c>
      <c r="M40" s="36">
        <f t="shared" si="19"/>
        <v>0</v>
      </c>
      <c r="N40" s="36">
        <f t="shared" si="19"/>
        <v>15594900.450000001</v>
      </c>
      <c r="O40" s="36">
        <f t="shared" si="19"/>
        <v>42444212.989999995</v>
      </c>
      <c r="P40" s="37">
        <f t="shared" si="19"/>
        <v>9695285.8699999992</v>
      </c>
    </row>
    <row r="41" spans="1:16" s="12" customFormat="1">
      <c r="A41" s="13">
        <v>38</v>
      </c>
      <c r="B41" s="54" t="s">
        <v>94</v>
      </c>
      <c r="C41" s="20" t="s">
        <v>95</v>
      </c>
      <c r="D41" s="16">
        <v>4386680.17</v>
      </c>
      <c r="E41" s="16">
        <f t="shared" ref="E41:E46" si="20">D41-F41</f>
        <v>4386680.17</v>
      </c>
      <c r="F41" s="48">
        <v>0</v>
      </c>
      <c r="G41" s="16">
        <f t="shared" ref="G41:G46" si="21">E41-H41</f>
        <v>3705617.61</v>
      </c>
      <c r="H41" s="48">
        <v>681062.56</v>
      </c>
      <c r="I41" s="48">
        <v>0</v>
      </c>
      <c r="J41" s="48">
        <v>0</v>
      </c>
      <c r="K41" s="48"/>
      <c r="L41" s="48">
        <v>2658.32</v>
      </c>
      <c r="M41" s="48">
        <v>0</v>
      </c>
      <c r="N41" s="48">
        <v>992293.74</v>
      </c>
      <c r="O41" s="16">
        <f t="shared" ref="O41:O46" si="22">K41+L41+M41+N41</f>
        <v>994952.05999999994</v>
      </c>
      <c r="P41" s="17">
        <f t="shared" si="0"/>
        <v>3391728.11</v>
      </c>
    </row>
    <row r="42" spans="1:16" s="12" customFormat="1">
      <c r="A42" s="13">
        <v>39</v>
      </c>
      <c r="B42" s="54" t="s">
        <v>96</v>
      </c>
      <c r="C42" s="20" t="s">
        <v>97</v>
      </c>
      <c r="D42" s="16">
        <v>229969.44</v>
      </c>
      <c r="E42" s="16">
        <f t="shared" si="20"/>
        <v>229969.44</v>
      </c>
      <c r="F42" s="48">
        <v>0</v>
      </c>
      <c r="G42" s="16">
        <f t="shared" si="21"/>
        <v>229969.44</v>
      </c>
      <c r="H42" s="48">
        <v>0</v>
      </c>
      <c r="I42" s="48"/>
      <c r="J42" s="48">
        <v>0</v>
      </c>
      <c r="K42" s="48">
        <v>0</v>
      </c>
      <c r="L42" s="48">
        <v>0</v>
      </c>
      <c r="M42" s="48">
        <v>0</v>
      </c>
      <c r="N42" s="48">
        <v>229969.44</v>
      </c>
      <c r="O42" s="16">
        <f t="shared" si="22"/>
        <v>229969.44</v>
      </c>
      <c r="P42" s="18">
        <f t="shared" si="0"/>
        <v>0</v>
      </c>
    </row>
    <row r="43" spans="1:16" s="12" customFormat="1">
      <c r="A43" s="13">
        <v>40</v>
      </c>
      <c r="B43" s="54" t="s">
        <v>98</v>
      </c>
      <c r="C43" s="20" t="s">
        <v>99</v>
      </c>
      <c r="D43" s="16">
        <v>100</v>
      </c>
      <c r="E43" s="16">
        <f t="shared" si="20"/>
        <v>100</v>
      </c>
      <c r="F43" s="48">
        <v>0</v>
      </c>
      <c r="G43" s="16">
        <f t="shared" si="21"/>
        <v>100</v>
      </c>
      <c r="H43" s="48">
        <v>0</v>
      </c>
      <c r="I43" s="48"/>
      <c r="J43" s="48">
        <v>0</v>
      </c>
      <c r="K43" s="48">
        <v>0</v>
      </c>
      <c r="L43" s="48">
        <v>0</v>
      </c>
      <c r="M43" s="48">
        <v>0</v>
      </c>
      <c r="N43" s="48">
        <v>100</v>
      </c>
      <c r="O43" s="16">
        <f t="shared" si="22"/>
        <v>100</v>
      </c>
      <c r="P43" s="18">
        <f t="shared" si="0"/>
        <v>0</v>
      </c>
    </row>
    <row r="44" spans="1:16" s="12" customFormat="1">
      <c r="A44" s="13">
        <v>41</v>
      </c>
      <c r="B44" s="54" t="s">
        <v>100</v>
      </c>
      <c r="C44" s="20" t="s">
        <v>101</v>
      </c>
      <c r="D44" s="16">
        <v>411472.4</v>
      </c>
      <c r="E44" s="16">
        <f t="shared" si="20"/>
        <v>411472.4</v>
      </c>
      <c r="F44" s="48">
        <v>0</v>
      </c>
      <c r="G44" s="16">
        <f t="shared" si="21"/>
        <v>297853.15000000002</v>
      </c>
      <c r="H44" s="48">
        <v>113619.25</v>
      </c>
      <c r="I44" s="48"/>
      <c r="J44" s="48">
        <v>0</v>
      </c>
      <c r="K44" s="48">
        <v>0</v>
      </c>
      <c r="L44" s="48">
        <v>0</v>
      </c>
      <c r="M44" s="48">
        <v>0</v>
      </c>
      <c r="N44" s="48">
        <v>0</v>
      </c>
      <c r="O44" s="16">
        <v>0</v>
      </c>
      <c r="P44" s="18">
        <f t="shared" si="0"/>
        <v>411472.4</v>
      </c>
    </row>
    <row r="45" spans="1:16" s="12" customFormat="1">
      <c r="A45" s="13">
        <v>42</v>
      </c>
      <c r="B45" s="54" t="s">
        <v>102</v>
      </c>
      <c r="C45" s="20" t="s">
        <v>103</v>
      </c>
      <c r="D45" s="16">
        <v>131282.15</v>
      </c>
      <c r="E45" s="16">
        <f t="shared" si="20"/>
        <v>131282.15</v>
      </c>
      <c r="F45" s="48">
        <v>0</v>
      </c>
      <c r="G45" s="16">
        <v>98084.55</v>
      </c>
      <c r="H45" s="48">
        <v>33197.599999999999</v>
      </c>
      <c r="I45" s="48"/>
      <c r="J45" s="48">
        <v>0</v>
      </c>
      <c r="K45" s="48">
        <v>0</v>
      </c>
      <c r="L45" s="48">
        <v>0</v>
      </c>
      <c r="M45" s="48">
        <v>0</v>
      </c>
      <c r="N45" s="48">
        <v>131282.15</v>
      </c>
      <c r="O45" s="16">
        <f t="shared" si="22"/>
        <v>131282.15</v>
      </c>
      <c r="P45" s="18">
        <f t="shared" si="0"/>
        <v>0</v>
      </c>
    </row>
    <row r="46" spans="1:16" s="12" customFormat="1">
      <c r="A46" s="13">
        <v>43</v>
      </c>
      <c r="B46" s="54" t="s">
        <v>104</v>
      </c>
      <c r="C46" s="20" t="s">
        <v>105</v>
      </c>
      <c r="D46" s="16">
        <v>394315.24</v>
      </c>
      <c r="E46" s="16">
        <f t="shared" si="20"/>
        <v>394315.24</v>
      </c>
      <c r="F46" s="48">
        <v>0</v>
      </c>
      <c r="G46" s="16">
        <f t="shared" si="21"/>
        <v>394315.24</v>
      </c>
      <c r="H46" s="48">
        <v>0</v>
      </c>
      <c r="I46" s="48"/>
      <c r="J46" s="48">
        <v>0</v>
      </c>
      <c r="K46" s="48">
        <v>0</v>
      </c>
      <c r="L46" s="48">
        <v>0</v>
      </c>
      <c r="M46" s="48">
        <v>0</v>
      </c>
      <c r="N46" s="48">
        <v>394315.24</v>
      </c>
      <c r="O46" s="16">
        <f t="shared" si="22"/>
        <v>394315.24</v>
      </c>
      <c r="P46" s="18">
        <f t="shared" si="0"/>
        <v>0</v>
      </c>
    </row>
    <row r="47" spans="1:16" s="27" customFormat="1" ht="15.75" thickBot="1">
      <c r="A47" s="61">
        <v>44</v>
      </c>
      <c r="B47" s="35" t="s">
        <v>106</v>
      </c>
      <c r="C47" s="24" t="s">
        <v>107</v>
      </c>
      <c r="D47" s="36">
        <f t="shared" ref="D47:P47" si="23">SUM(D41:D46)</f>
        <v>5553819.4000000013</v>
      </c>
      <c r="E47" s="36">
        <f t="shared" si="23"/>
        <v>5553819.4000000013</v>
      </c>
      <c r="F47" s="36">
        <f t="shared" si="23"/>
        <v>0</v>
      </c>
      <c r="G47" s="36">
        <f t="shared" si="23"/>
        <v>4725939.99</v>
      </c>
      <c r="H47" s="36">
        <f t="shared" si="23"/>
        <v>827879.41</v>
      </c>
      <c r="I47" s="36">
        <f t="shared" si="23"/>
        <v>0</v>
      </c>
      <c r="J47" s="36">
        <f t="shared" si="23"/>
        <v>0</v>
      </c>
      <c r="K47" s="36">
        <f t="shared" si="23"/>
        <v>0</v>
      </c>
      <c r="L47" s="36">
        <f t="shared" si="23"/>
        <v>2658.32</v>
      </c>
      <c r="M47" s="36">
        <f t="shared" si="23"/>
        <v>0</v>
      </c>
      <c r="N47" s="36">
        <f t="shared" si="23"/>
        <v>1747960.5699999998</v>
      </c>
      <c r="O47" s="36">
        <f t="shared" si="23"/>
        <v>1750618.89</v>
      </c>
      <c r="P47" s="71">
        <f t="shared" si="23"/>
        <v>3803200.51</v>
      </c>
    </row>
    <row r="48" spans="1:16" s="27" customFormat="1" ht="15.75" thickBot="1">
      <c r="A48" s="61">
        <v>45</v>
      </c>
      <c r="B48" s="35" t="s">
        <v>108</v>
      </c>
      <c r="C48" s="24" t="s">
        <v>109</v>
      </c>
      <c r="D48" s="36">
        <f t="shared" ref="D48:P48" si="24">D9+D29+D40+D11+D47</f>
        <v>103558632.72000001</v>
      </c>
      <c r="E48" s="36">
        <f t="shared" si="24"/>
        <v>94252723.910000011</v>
      </c>
      <c r="F48" s="36">
        <f t="shared" si="24"/>
        <v>9305908.8100000005</v>
      </c>
      <c r="G48" s="36">
        <f t="shared" si="24"/>
        <v>79065814.969999984</v>
      </c>
      <c r="H48" s="36">
        <f t="shared" si="24"/>
        <v>15186908.939999999</v>
      </c>
      <c r="I48" s="36">
        <f t="shared" si="24"/>
        <v>31860.76</v>
      </c>
      <c r="J48" s="36">
        <f t="shared" si="24"/>
        <v>19050307.940000001</v>
      </c>
      <c r="K48" s="36">
        <f t="shared" si="24"/>
        <v>26662015.270000003</v>
      </c>
      <c r="L48" s="36">
        <f t="shared" si="24"/>
        <v>10833157.040000001</v>
      </c>
      <c r="M48" s="36">
        <f t="shared" si="24"/>
        <v>1532271.43</v>
      </c>
      <c r="N48" s="36">
        <f t="shared" si="24"/>
        <v>31809420.940000001</v>
      </c>
      <c r="O48" s="36">
        <f t="shared" si="24"/>
        <v>70836864.679999992</v>
      </c>
      <c r="P48" s="37">
        <f t="shared" si="24"/>
        <v>23415859.229999997</v>
      </c>
    </row>
    <row r="49" spans="1:16" s="12" customFormat="1" ht="64.5">
      <c r="A49" s="13">
        <v>46</v>
      </c>
      <c r="B49" s="54" t="s">
        <v>110</v>
      </c>
      <c r="C49" s="15" t="s">
        <v>111</v>
      </c>
      <c r="D49" s="16">
        <v>10478041.34</v>
      </c>
      <c r="E49" s="16">
        <f>D49-F49</f>
        <v>4032634.34</v>
      </c>
      <c r="F49" s="39">
        <f>6254119+191288</f>
        <v>6445407</v>
      </c>
      <c r="G49" s="16">
        <f>E49-H49</f>
        <v>3707586.38</v>
      </c>
      <c r="H49" s="39">
        <v>325047.96000000002</v>
      </c>
      <c r="I49" s="39">
        <v>0</v>
      </c>
      <c r="J49" s="39">
        <f>214042.77+511317.58</f>
        <v>725360.35</v>
      </c>
      <c r="K49" s="39">
        <v>0</v>
      </c>
      <c r="L49" s="39">
        <v>0</v>
      </c>
      <c r="M49" s="39">
        <v>0</v>
      </c>
      <c r="N49" s="39">
        <f>2162791.14+1025152.62</f>
        <v>3187943.7600000002</v>
      </c>
      <c r="O49" s="16">
        <f t="shared" ref="O49:O53" si="25">K49+L49+M49+N49</f>
        <v>3187943.7600000002</v>
      </c>
      <c r="P49" s="17">
        <f t="shared" si="0"/>
        <v>844690.57999999961</v>
      </c>
    </row>
    <row r="50" spans="1:16" s="12" customFormat="1" ht="27" thickBot="1">
      <c r="A50" s="13">
        <v>47</v>
      </c>
      <c r="B50" s="54" t="s">
        <v>112</v>
      </c>
      <c r="C50" s="72" t="s">
        <v>113</v>
      </c>
      <c r="D50" s="16">
        <v>775930.51</v>
      </c>
      <c r="E50" s="16">
        <f>D50-F50</f>
        <v>775930.51</v>
      </c>
      <c r="F50" s="16">
        <v>0</v>
      </c>
      <c r="G50" s="16">
        <f>E50-H50</f>
        <v>361774.51</v>
      </c>
      <c r="H50" s="16">
        <v>414156</v>
      </c>
      <c r="I50" s="16">
        <v>0</v>
      </c>
      <c r="J50" s="38">
        <v>518703.03</v>
      </c>
      <c r="K50" s="38">
        <v>0</v>
      </c>
      <c r="L50" s="38">
        <v>0</v>
      </c>
      <c r="M50" s="38">
        <v>0</v>
      </c>
      <c r="N50" s="38">
        <v>361774.51</v>
      </c>
      <c r="O50" s="16">
        <f t="shared" si="25"/>
        <v>361774.51</v>
      </c>
      <c r="P50" s="67">
        <f t="shared" si="0"/>
        <v>414156</v>
      </c>
    </row>
    <row r="51" spans="1:16" s="27" customFormat="1" ht="30.75" thickBot="1">
      <c r="A51" s="61">
        <v>48</v>
      </c>
      <c r="B51" s="35" t="s">
        <v>114</v>
      </c>
      <c r="C51" s="24" t="s">
        <v>115</v>
      </c>
      <c r="D51" s="36">
        <f t="shared" ref="D51:P51" si="26">SUM(D49:D50)</f>
        <v>11253971.85</v>
      </c>
      <c r="E51" s="36">
        <f t="shared" si="26"/>
        <v>4808564.8499999996</v>
      </c>
      <c r="F51" s="36">
        <f t="shared" si="26"/>
        <v>6445407</v>
      </c>
      <c r="G51" s="36">
        <f t="shared" si="26"/>
        <v>4069360.8899999997</v>
      </c>
      <c r="H51" s="36">
        <f t="shared" si="26"/>
        <v>739203.96</v>
      </c>
      <c r="I51" s="36">
        <f t="shared" si="26"/>
        <v>0</v>
      </c>
      <c r="J51" s="36">
        <f t="shared" si="26"/>
        <v>1244063.3799999999</v>
      </c>
      <c r="K51" s="36">
        <f t="shared" si="26"/>
        <v>0</v>
      </c>
      <c r="L51" s="36">
        <f t="shared" si="26"/>
        <v>0</v>
      </c>
      <c r="M51" s="36">
        <f t="shared" si="26"/>
        <v>0</v>
      </c>
      <c r="N51" s="36">
        <f t="shared" si="26"/>
        <v>3549718.2700000005</v>
      </c>
      <c r="O51" s="36">
        <f t="shared" si="26"/>
        <v>3549718.2700000005</v>
      </c>
      <c r="P51" s="37">
        <f t="shared" si="26"/>
        <v>1258846.5799999996</v>
      </c>
    </row>
    <row r="52" spans="1:16" s="12" customFormat="1">
      <c r="A52" s="13">
        <v>49</v>
      </c>
      <c r="B52" s="54" t="s">
        <v>116</v>
      </c>
      <c r="C52" s="20" t="s">
        <v>117</v>
      </c>
      <c r="D52" s="16">
        <v>45988.480000000003</v>
      </c>
      <c r="E52" s="16">
        <f>D52-F52</f>
        <v>0</v>
      </c>
      <c r="F52" s="48">
        <v>45988.480000000003</v>
      </c>
      <c r="G52" s="16">
        <v>0</v>
      </c>
      <c r="H52" s="38">
        <v>0</v>
      </c>
      <c r="I52" s="48">
        <v>0</v>
      </c>
      <c r="J52" s="48">
        <v>0</v>
      </c>
      <c r="K52" s="48">
        <v>0</v>
      </c>
      <c r="L52" s="48">
        <v>0</v>
      </c>
      <c r="M52" s="48">
        <v>0</v>
      </c>
      <c r="N52" s="48">
        <v>0</v>
      </c>
      <c r="O52" s="16">
        <f t="shared" si="25"/>
        <v>0</v>
      </c>
      <c r="P52" s="68">
        <f t="shared" si="0"/>
        <v>0</v>
      </c>
    </row>
    <row r="53" spans="1:16" s="12" customFormat="1" ht="15.75" thickBot="1">
      <c r="A53" s="13">
        <v>50</v>
      </c>
      <c r="B53" s="54" t="s">
        <v>118</v>
      </c>
      <c r="C53" s="20" t="s">
        <v>119</v>
      </c>
      <c r="D53" s="16">
        <v>30363.7</v>
      </c>
      <c r="E53" s="16">
        <f>D53-F53</f>
        <v>30363.7</v>
      </c>
      <c r="F53" s="48">
        <v>0</v>
      </c>
      <c r="G53" s="16">
        <f>E53-H53</f>
        <v>30263.7</v>
      </c>
      <c r="H53" s="38">
        <v>100</v>
      </c>
      <c r="I53" s="48">
        <v>0</v>
      </c>
      <c r="J53" s="48">
        <v>0</v>
      </c>
      <c r="K53" s="48">
        <v>0</v>
      </c>
      <c r="L53" s="48">
        <v>0</v>
      </c>
      <c r="M53" s="48">
        <v>0</v>
      </c>
      <c r="N53" s="48">
        <v>0</v>
      </c>
      <c r="O53" s="16">
        <f t="shared" si="25"/>
        <v>0</v>
      </c>
      <c r="P53" s="67">
        <f t="shared" si="0"/>
        <v>30363.7</v>
      </c>
    </row>
    <row r="54" spans="1:16" s="78" customFormat="1" ht="45.75" thickBot="1">
      <c r="A54" s="73">
        <v>51</v>
      </c>
      <c r="B54" s="74" t="s">
        <v>120</v>
      </c>
      <c r="C54" s="75" t="s">
        <v>121</v>
      </c>
      <c r="D54" s="76">
        <f t="shared" ref="D54:P54" si="27">SUM(D52:D53)</f>
        <v>76352.180000000008</v>
      </c>
      <c r="E54" s="76">
        <f t="shared" si="27"/>
        <v>30363.7</v>
      </c>
      <c r="F54" s="76">
        <f t="shared" si="27"/>
        <v>45988.480000000003</v>
      </c>
      <c r="G54" s="76">
        <f t="shared" si="27"/>
        <v>30263.7</v>
      </c>
      <c r="H54" s="76">
        <f t="shared" si="27"/>
        <v>100</v>
      </c>
      <c r="I54" s="76">
        <f t="shared" si="27"/>
        <v>0</v>
      </c>
      <c r="J54" s="76">
        <f t="shared" si="27"/>
        <v>0</v>
      </c>
      <c r="K54" s="76">
        <f t="shared" si="27"/>
        <v>0</v>
      </c>
      <c r="L54" s="76">
        <f t="shared" si="27"/>
        <v>0</v>
      </c>
      <c r="M54" s="76">
        <f t="shared" si="27"/>
        <v>0</v>
      </c>
      <c r="N54" s="76">
        <f t="shared" si="27"/>
        <v>0</v>
      </c>
      <c r="O54" s="76">
        <f t="shared" si="27"/>
        <v>0</v>
      </c>
      <c r="P54" s="77">
        <f t="shared" si="27"/>
        <v>30363.7</v>
      </c>
    </row>
    <row r="55" spans="1:16" s="78" customFormat="1" ht="15.75" thickBot="1">
      <c r="A55" s="73"/>
      <c r="B55" s="74"/>
      <c r="C55" s="79" t="s">
        <v>122</v>
      </c>
      <c r="D55" s="80">
        <f t="shared" ref="D55:P55" si="28">D48+D51+D54</f>
        <v>114888956.75000001</v>
      </c>
      <c r="E55" s="80">
        <f t="shared" si="28"/>
        <v>99091652.460000008</v>
      </c>
      <c r="F55" s="80">
        <f t="shared" si="28"/>
        <v>15797304.290000001</v>
      </c>
      <c r="G55" s="80">
        <f t="shared" si="28"/>
        <v>83165439.559999987</v>
      </c>
      <c r="H55" s="80">
        <f t="shared" si="28"/>
        <v>15926212.899999999</v>
      </c>
      <c r="I55" s="80">
        <f t="shared" si="28"/>
        <v>31860.76</v>
      </c>
      <c r="J55" s="80">
        <f t="shared" si="28"/>
        <v>20294371.32</v>
      </c>
      <c r="K55" s="80">
        <f t="shared" si="28"/>
        <v>26662015.270000003</v>
      </c>
      <c r="L55" s="80">
        <f t="shared" si="28"/>
        <v>10833157.040000001</v>
      </c>
      <c r="M55" s="80">
        <f t="shared" si="28"/>
        <v>1532271.43</v>
      </c>
      <c r="N55" s="80">
        <f t="shared" si="28"/>
        <v>35359139.210000001</v>
      </c>
      <c r="O55" s="80">
        <f t="shared" si="28"/>
        <v>74386582.949999988</v>
      </c>
      <c r="P55" s="81">
        <f t="shared" si="28"/>
        <v>24705069.509999994</v>
      </c>
    </row>
    <row r="56" spans="1:16">
      <c r="D56" s="82"/>
      <c r="E56" s="82"/>
      <c r="F56" s="82"/>
      <c r="G56" s="82"/>
      <c r="H56" s="82"/>
      <c r="I56" s="82"/>
      <c r="J56" s="82"/>
      <c r="K56" s="82"/>
      <c r="L56" s="82"/>
      <c r="M56" s="82"/>
      <c r="N56" s="82"/>
      <c r="O56" s="82"/>
      <c r="P56" s="82"/>
    </row>
    <row r="57" spans="1:16">
      <c r="D57" s="82"/>
      <c r="E57" s="82"/>
      <c r="F57" s="82"/>
      <c r="G57" s="82"/>
      <c r="H57" s="82"/>
      <c r="I57" s="82"/>
      <c r="J57" s="82"/>
      <c r="K57" s="82"/>
      <c r="L57" s="82"/>
      <c r="M57" s="82"/>
      <c r="N57" s="82"/>
      <c r="O57" s="82"/>
      <c r="P57" s="82"/>
    </row>
    <row r="58" spans="1:16">
      <c r="D58" s="82"/>
      <c r="E58" s="82"/>
      <c r="F58" s="82"/>
      <c r="G58" s="82"/>
      <c r="H58" s="82"/>
      <c r="I58" s="82"/>
      <c r="J58" s="82"/>
      <c r="K58" s="82"/>
      <c r="L58" s="82"/>
      <c r="M58" s="82"/>
      <c r="N58" s="82"/>
      <c r="O58" s="82"/>
      <c r="P58" s="82"/>
    </row>
  </sheetData>
  <mergeCells count="1">
    <mergeCell ref="A1:P1"/>
  </mergeCells>
  <pageMargins left="0.70866141732283472" right="0.70866141732283472" top="0.74803149606299213" bottom="0.74803149606299213" header="0.31496062992125984" footer="0.31496062992125984"/>
  <pageSetup paperSize="9" scale="56" orientation="landscape" r:id="rId1"/>
  <rowBreaks count="1" manualBreakCount="1">
    <brk id="4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bbatelic</dc:creator>
  <cp:lastModifiedBy>bbatelic</cp:lastModifiedBy>
  <cp:lastPrinted>2020-06-18T05:47:54Z</cp:lastPrinted>
  <dcterms:created xsi:type="dcterms:W3CDTF">2020-05-20T06:51:18Z</dcterms:created>
  <dcterms:modified xsi:type="dcterms:W3CDTF">2020-06-18T05:48:07Z</dcterms:modified>
</cp:coreProperties>
</file>