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arbara\POLUGODISNJI I GODISNJI OBRACUN\2021\30.06.2021\"/>
    </mc:Choice>
  </mc:AlternateContent>
  <xr:revisionPtr revIDLastSave="0" documentId="13_ncr:1_{C5583F7A-D403-4837-B197-554D6A8EA6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TRAŽIVANJA 2021. PULA " sheetId="1" r:id="rId1"/>
  </sheets>
  <definedNames>
    <definedName name="_xlnm._FilterDatabase" localSheetId="0" hidden="1">'POTRAŽIVANJA 2021. PULA '!$A$2:$N$2</definedName>
    <definedName name="_xlnm.Print_Titles" localSheetId="0">'POTRAŽIVANJA 2021. PULA '!$2:$3</definedName>
    <definedName name="_xlnm.Print_Area" localSheetId="0">'POTRAŽIVANJA 2021. PULA '!$A$1:$N$53</definedName>
    <definedName name="Z_0104055D_4F86_418B_A092_43076E5DAB68_.wvu.FilterData" localSheetId="0" hidden="1">'POTRAŽIVANJA 2021. PULA '!$A$2:$N$2</definedName>
    <definedName name="Z_03445B5C_49D0_440B_BC0D_86CAF9BBA1EB_.wvu.Cols" localSheetId="0" hidden="1">'POTRAŽIVANJA 2021. PULA '!#REF!,'POTRAŽIVANJA 2021. PULA '!#REF!</definedName>
    <definedName name="Z_03445B5C_49D0_440B_BC0D_86CAF9BBA1EB_.wvu.FilterData" localSheetId="0" hidden="1">'POTRAŽIVANJA 2021. PULA '!$A$2:$N$2</definedName>
    <definedName name="Z_03445B5C_49D0_440B_BC0D_86CAF9BBA1EB_.wvu.PrintArea" localSheetId="0" hidden="1">'POTRAŽIVANJA 2021. PULA '!$A$1:$N$53</definedName>
    <definedName name="Z_03445B5C_49D0_440B_BC0D_86CAF9BBA1EB_.wvu.PrintTitles" localSheetId="0" hidden="1">'POTRAŽIVANJA 2021. PULA '!$2:$3</definedName>
    <definedName name="Z_0A3FC11F_8BD3_4FB4_AED3_E6B3C53DF8B6_.wvu.FilterData" localSheetId="0" hidden="1">'POTRAŽIVANJA 2021. PULA '!$A$2:$N$2</definedName>
    <definedName name="Z_1285AB19_9522_4B0A_BEC0_749BF7FEE887_.wvu.Cols" localSheetId="0" hidden="1">'POTRAŽIVANJA 2021. PULA '!#REF!</definedName>
    <definedName name="Z_1285AB19_9522_4B0A_BEC0_749BF7FEE887_.wvu.FilterData" localSheetId="0" hidden="1">'POTRAŽIVANJA 2021. PULA '!$A$2:$N$2</definedName>
    <definedName name="Z_1285AB19_9522_4B0A_BEC0_749BF7FEE887_.wvu.PrintArea" localSheetId="0" hidden="1">'POTRAŽIVANJA 2021. PULA '!$A$1:$N$53</definedName>
    <definedName name="Z_1285AB19_9522_4B0A_BEC0_749BF7FEE887_.wvu.PrintTitles" localSheetId="0" hidden="1">'POTRAŽIVANJA 2021. PULA '!$2:$3</definedName>
    <definedName name="Z_1C6BE7DE_D2D0_40FF_A180_01CCB7FF2580_.wvu.Cols" localSheetId="0" hidden="1">'POTRAŽIVANJA 2021. PULA '!#REF!,'POTRAŽIVANJA 2021. PULA '!#REF!,'POTRAŽIVANJA 2021. PULA '!#REF!</definedName>
    <definedName name="Z_1C6BE7DE_D2D0_40FF_A180_01CCB7FF2580_.wvu.FilterData" localSheetId="0" hidden="1">'POTRAŽIVANJA 2021. PULA '!$A$2:$N$2</definedName>
    <definedName name="Z_1C6BE7DE_D2D0_40FF_A180_01CCB7FF2580_.wvu.PrintArea" localSheetId="0" hidden="1">'POTRAŽIVANJA 2021. PULA '!$A$1:$N$53</definedName>
    <definedName name="Z_1C6BE7DE_D2D0_40FF_A180_01CCB7FF2580_.wvu.PrintTitles" localSheetId="0" hidden="1">'POTRAŽIVANJA 2021. PULA '!$2:$3</definedName>
    <definedName name="Z_1DA93417_905B_41CD_AC99_CCBBC2B535C0_.wvu.FilterData" localSheetId="0" hidden="1">'POTRAŽIVANJA 2021. PULA '!$A$2:$N$2</definedName>
    <definedName name="Z_262564CE_2687_4613_ABE5_2D314BEBF817_.wvu.FilterData" localSheetId="0" hidden="1">'POTRAŽIVANJA 2021. PULA '!$A$2:$N$2</definedName>
    <definedName name="Z_287BB99E_4494_4C80_9BF5_A16ED9F406F9_.wvu.Cols" localSheetId="0" hidden="1">'POTRAŽIVANJA 2021. PULA '!#REF!,'POTRAŽIVANJA 2021. PULA '!#REF!</definedName>
    <definedName name="Z_287BB99E_4494_4C80_9BF5_A16ED9F406F9_.wvu.FilterData" localSheetId="0" hidden="1">'POTRAŽIVANJA 2021. PULA '!$A$2:$N$2</definedName>
    <definedName name="Z_287BB99E_4494_4C80_9BF5_A16ED9F406F9_.wvu.PrintArea" localSheetId="0" hidden="1">'POTRAŽIVANJA 2021. PULA '!$A$1:$N$53</definedName>
    <definedName name="Z_287BB99E_4494_4C80_9BF5_A16ED9F406F9_.wvu.PrintTitles" localSheetId="0" hidden="1">'POTRAŽIVANJA 2021. PULA '!$2:$3</definedName>
    <definedName name="Z_39A49891_94B4_414B_A9AD_C01B17B74E79_.wvu.Cols" localSheetId="0" hidden="1">'POTRAŽIVANJA 2021. PULA '!#REF!,'POTRAŽIVANJA 2021. PULA '!#REF!</definedName>
    <definedName name="Z_39A49891_94B4_414B_A9AD_C01B17B74E79_.wvu.FilterData" localSheetId="0" hidden="1">'POTRAŽIVANJA 2021. PULA '!$A$2:$N$2</definedName>
    <definedName name="Z_39A49891_94B4_414B_A9AD_C01B17B74E79_.wvu.PrintArea" localSheetId="0" hidden="1">'POTRAŽIVANJA 2021. PULA '!$A$1:$N$53</definedName>
    <definedName name="Z_39A49891_94B4_414B_A9AD_C01B17B74E79_.wvu.PrintTitles" localSheetId="0" hidden="1">'POTRAŽIVANJA 2021. PULA '!$2:$3</definedName>
    <definedName name="Z_39B00C26_8CFC_412B_9BE2_DA412E23708F_.wvu.FilterData" localSheetId="0" hidden="1">'POTRAŽIVANJA 2021. PULA '!$A$2:$N$2</definedName>
    <definedName name="Z_4B0B6631_6659_4355_B2D5_A2D4E589B09D_.wvu.FilterData" localSheetId="0" hidden="1">'POTRAŽIVANJA 2021. PULA '!$A$2:$N$2</definedName>
    <definedName name="Z_4C3A2165_2CD6_4DA0_A63C_CCAADA037260_.wvu.FilterData" localSheetId="0" hidden="1">'POTRAŽIVANJA 2021. PULA '!$A$2:$N$2</definedName>
    <definedName name="Z_4F436F5E_397A_47A2_806E_F3484E3158AB_.wvu.FilterData" localSheetId="0" hidden="1">'POTRAŽIVANJA 2021. PULA '!$A$2:$N$2</definedName>
    <definedName name="Z_57242146_31A6_40EB_88F2_E4693567316F_.wvu.FilterData" localSheetId="0" hidden="1">'POTRAŽIVANJA 2021. PULA '!$A$2:$N$2</definedName>
    <definedName name="Z_69C9F101_52CF_453D_A718_3D5CFF44C284_.wvu.FilterData" localSheetId="0" hidden="1">'POTRAŽIVANJA 2021. PULA '!$A$2:$N$2</definedName>
    <definedName name="Z_6A72E99D_97AF_4CDF_8734_D3BD6927719C_.wvu.FilterData" localSheetId="0" hidden="1">'POTRAŽIVANJA 2021. PULA '!$A$2:$N$2</definedName>
    <definedName name="Z_6BEA5760_B5C1_440F_894D_9BA184D9228C_.wvu.FilterData" localSheetId="0" hidden="1">'POTRAŽIVANJA 2021. PULA '!$A$2:$N$2</definedName>
    <definedName name="Z_6C5545EE_576C_4DE7_9249_27B326B008BF_.wvu.FilterData" localSheetId="0" hidden="1">'POTRAŽIVANJA 2021. PULA '!$A$2:$N$2</definedName>
    <definedName name="Z_73FDEF46_0CD4_43F5_8459_3122D65158EC_.wvu.FilterData" localSheetId="0" hidden="1">'POTRAŽIVANJA 2021. PULA '!$A$2:$N$2</definedName>
    <definedName name="Z_796CC579_20C1_45F7_888A_DC7F1BA10AA8_.wvu.FilterData" localSheetId="0" hidden="1">'POTRAŽIVANJA 2021. PULA '!$A$2:$N$2</definedName>
    <definedName name="Z_802D023E_FDC7_4E6D_A65F_8F29BC86F961_.wvu.FilterData" localSheetId="0" hidden="1">'POTRAŽIVANJA 2021. PULA '!$A$2:$N$2</definedName>
    <definedName name="Z_8A729B9F_3337_4071_951E_CA86BAEE6893_.wvu.FilterData" localSheetId="0" hidden="1">'POTRAŽIVANJA 2021. PULA '!$A$2:$N$2</definedName>
    <definedName name="Z_972E8E52_169D_4E32_815F_7150F4E4E164_.wvu.FilterData" localSheetId="0" hidden="1">'POTRAŽIVANJA 2021. PULA '!$A$2:$N$2</definedName>
    <definedName name="Z_9BFBF61C_DBA2_4EC4_9A5E_913A5B6BF06E_.wvu.FilterData" localSheetId="0" hidden="1">'POTRAŽIVANJA 2021. PULA '!$A$2:$N$2</definedName>
    <definedName name="Z_A59F6773_5C54_49F5_8494_4E00ACC21610_.wvu.FilterData" localSheetId="0" hidden="1">'POTRAŽIVANJA 2021. PULA '!$A$2:$N$2</definedName>
    <definedName name="Z_B1D981AC_BF34_4C8C_9AD3_B7F961F3C03B_.wvu.Cols" localSheetId="0" hidden="1">'POTRAŽIVANJA 2021. PULA '!#REF!,'POTRAŽIVANJA 2021. PULA '!#REF!</definedName>
    <definedName name="Z_B1D981AC_BF34_4C8C_9AD3_B7F961F3C03B_.wvu.FilterData" localSheetId="0" hidden="1">'POTRAŽIVANJA 2021. PULA '!$A$2:$N$2</definedName>
    <definedName name="Z_B1D981AC_BF34_4C8C_9AD3_B7F961F3C03B_.wvu.PrintArea" localSheetId="0" hidden="1">'POTRAŽIVANJA 2021. PULA '!$A$1:$N$53</definedName>
    <definedName name="Z_B1D981AC_BF34_4C8C_9AD3_B7F961F3C03B_.wvu.PrintTitles" localSheetId="0" hidden="1">'POTRAŽIVANJA 2021. PULA '!$2:$3</definedName>
    <definedName name="Z_B82ACAB2_19D0_4FEC_ABD7_A6630A628455_.wvu.FilterData" localSheetId="0" hidden="1">'POTRAŽIVANJA 2021. PULA '!$A$2:$N$2</definedName>
    <definedName name="Z_B84FA236_DC69_46E3_BCF5_35208B536009_.wvu.FilterData" localSheetId="0" hidden="1">'POTRAŽIVANJA 2021. PULA '!$A$2:$N$2</definedName>
    <definedName name="Z_CA8981AF_FE57_4DF7_960F_295751C92B8D_.wvu.FilterData" localSheetId="0" hidden="1">'POTRAŽIVANJA 2021. PULA '!$A$2:$N$2</definedName>
    <definedName name="Z_D0AAB196_C177_40A9_AA76_76AE7C874846_.wvu.FilterData" localSheetId="0" hidden="1">'POTRAŽIVANJA 2021. PULA '!$A$2:$N$2</definedName>
    <definedName name="Z_D11D6AA0_EDFE_4E07_8ADC_865141EACEB2_.wvu.Cols" localSheetId="0" hidden="1">'POTRAŽIVANJA 2021. PULA '!#REF!,'POTRAŽIVANJA 2021. PULA '!#REF!,'POTRAŽIVANJA 2021. PULA '!#REF!</definedName>
    <definedName name="Z_D11D6AA0_EDFE_4E07_8ADC_865141EACEB2_.wvu.FilterData" localSheetId="0" hidden="1">'POTRAŽIVANJA 2021. PULA '!$A$2:$N$2</definedName>
    <definedName name="Z_D11D6AA0_EDFE_4E07_8ADC_865141EACEB2_.wvu.PrintArea" localSheetId="0" hidden="1">'POTRAŽIVANJA 2021. PULA '!$A$1:$N$53</definedName>
    <definedName name="Z_D11D6AA0_EDFE_4E07_8ADC_865141EACEB2_.wvu.PrintTitles" localSheetId="0" hidden="1">'POTRAŽIVANJA 2021. PULA '!$2:$3</definedName>
    <definedName name="Z_D3A61B8E_B80B_4891_82C2_7853BFCB940C_.wvu.Cols" localSheetId="0" hidden="1">'POTRAŽIVANJA 2021. PULA '!#REF!,'POTRAŽIVANJA 2021. PULA '!#REF!,'POTRAŽIVANJA 2021. PULA '!#REF!</definedName>
    <definedName name="Z_D3A61B8E_B80B_4891_82C2_7853BFCB940C_.wvu.FilterData" localSheetId="0" hidden="1">'POTRAŽIVANJA 2021. PULA '!$A$2:$N$2</definedName>
    <definedName name="Z_D3A61B8E_B80B_4891_82C2_7853BFCB940C_.wvu.PrintArea" localSheetId="0" hidden="1">'POTRAŽIVANJA 2021. PULA '!$A$1:$N$53</definedName>
    <definedName name="Z_D3A61B8E_B80B_4891_82C2_7853BFCB940C_.wvu.PrintTitles" localSheetId="0" hidden="1">'POTRAŽIVANJA 2021. PULA '!$2:$3</definedName>
    <definedName name="Z_D49C9A08_97E7_437C_9255_11E4C9457AA9_.wvu.FilterData" localSheetId="0" hidden="1">'POTRAŽIVANJA 2021. PULA '!$A$2:$N$2</definedName>
    <definedName name="Z_D5312685_68D1_4392_8639_9B07EED8E0B4_.wvu.FilterData" localSheetId="0" hidden="1">'POTRAŽIVANJA 2021. PULA '!$A$2:$N$2</definedName>
    <definedName name="Z_DFAFD835_CF82_4EC8_9993_62C21F0EA5F2_.wvu.FilterData" localSheetId="0" hidden="1">'POTRAŽIVANJA 2021. PULA '!$A$2:$N$2</definedName>
    <definedName name="Z_F7C46E8F_DEA1_43A0_A20A_41B044493F36_.wvu.FilterData" localSheetId="0" hidden="1">'POTRAŽIVANJA 2021. PULA '!$A$2:$N$2</definedName>
    <definedName name="Z_FCC78B18_1C4A_4200_9EB7_014DEC4CEC97_.wvu.Cols" localSheetId="0" hidden="1">'POTRAŽIVANJA 2021. PULA '!#REF!,'POTRAŽIVANJA 2021. PULA '!#REF!</definedName>
    <definedName name="Z_FCC78B18_1C4A_4200_9EB7_014DEC4CEC97_.wvu.FilterData" localSheetId="0" hidden="1">'POTRAŽIVANJA 2021. PULA '!$A$2:$N$2</definedName>
    <definedName name="Z_FCC78B18_1C4A_4200_9EB7_014DEC4CEC97_.wvu.PrintArea" localSheetId="0" hidden="1">'POTRAŽIVANJA 2021. PULA '!$A$1:$N$53</definedName>
    <definedName name="Z_FCC78B18_1C4A_4200_9EB7_014DEC4CEC97_.wvu.PrintTitles" localSheetId="0" hidden="1">'POTRAŽIVANJA 2021. PULA '!$2:$3</definedName>
    <definedName name="Z_FF88790F_B3A8_43E0_9E45_6D97494C5053_.wvu.Cols" localSheetId="0" hidden="1">'POTRAŽIVANJA 2021. PULA '!#REF!</definedName>
    <definedName name="Z_FF88790F_B3A8_43E0_9E45_6D97494C5053_.wvu.FilterData" localSheetId="0" hidden="1">'POTRAŽIVANJA 2021. PULA '!$A$2:$N$2</definedName>
    <definedName name="Z_FF88790F_B3A8_43E0_9E45_6D97494C5053_.wvu.PrintArea" localSheetId="0" hidden="1">'POTRAŽIVANJA 2021. PULA '!$A$1:$N$53</definedName>
    <definedName name="Z_FF88790F_B3A8_43E0_9E45_6D97494C5053_.wvu.PrintTitles" localSheetId="0" hidden="1">'POTRAŽIVANJA 2021. PULA '!$2:$3</definedName>
  </definedNames>
  <calcPr calcId="181029"/>
  <customWorkbookViews>
    <customWorkbookView name="Fabris Igor - Personal View" guid="{D3A61B8E-B80B-4891-82C2-7853BFCB940C}" mergeInterval="0" personalView="1" maximized="1" xWindow="-8" yWindow="-8" windowWidth="1936" windowHeight="1056" activeSheetId="1"/>
    <customWorkbookView name="mvitasovic - Personal View" guid="{FF88790F-B3A8-43E0-9E45-6D97494C5053}" mergeInterval="0" personalView="1" maximized="1" xWindow="1" yWindow="1" windowWidth="1276" windowHeight="794" activeSheetId="1" showComments="commIndAndComment"/>
    <customWorkbookView name="Igor Fabris - Personal View" guid="{287BB99E-4494-4C80-9BF5-A16ED9F406F9}" mergeInterval="0" personalView="1" maximized="1" xWindow="1" yWindow="1" windowWidth="1276" windowHeight="794" activeSheetId="1"/>
    <customWorkbookView name="lkrajcer - Osobni pogled" guid="{03445B5C-49D0-440B-BC0D-86CAF9BBA1EB}" mergeInterval="0" personalView="1" maximized="1" xWindow="1" yWindow="1" windowWidth="1280" windowHeight="794" activeSheetId="1" showComments="commIndAndComment"/>
    <customWorkbookView name="bbatelic - Personal View" guid="{D11D6AA0-EDFE-4E07-8ADC-865141EACEB2}" mergeInterval="0" personalView="1" maximized="1" xWindow="1" yWindow="1" windowWidth="1276" windowHeight="804" activeSheetId="1"/>
    <customWorkbookView name="Katja Škopac Koroman - Personal View" guid="{FCC78B18-1C4A-4200-9EB7-014DEC4CEC97}" mergeInterval="0" personalView="1" maximized="1" xWindow="1" yWindow="1" windowWidth="1276" windowHeight="729" activeSheetId="1"/>
    <customWorkbookView name="rocnik - Personal View" guid="{1285AB19-9522-4B0A-BEC0-749BF7FEE887}" mergeInterval="0" personalView="1" maximized="1" xWindow="1" yWindow="1" windowWidth="1020" windowHeight="501" activeSheetId="1"/>
    <customWorkbookView name="szmak - Osobni pogled" guid="{B1D981AC-BF34-4C8C-9AD3-B7F961F3C03B}" mergeInterval="0" personalView="1" maximized="1" xWindow="1" yWindow="1" windowWidth="1276" windowHeight="712" activeSheetId="1"/>
    <customWorkbookView name="Škopac Koroman Katja - Personal View" guid="{39A49891-94B4-414B-A9AD-C01B17B74E79}" mergeInterval="0" personalView="1" maximized="1" xWindow="-8" yWindow="-8" windowWidth="1936" windowHeight="1056" activeSheetId="1"/>
    <customWorkbookView name="Batelić Barbara - osobni prikaz" guid="{1C6BE7DE-D2D0-40FF-A180-01CCB7FF2580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N40" i="1" l="1"/>
  <c r="L37" i="1" l="1"/>
  <c r="L28" i="1"/>
  <c r="D4" i="1"/>
  <c r="I45" i="1" l="1"/>
  <c r="I34" i="1"/>
  <c r="I27" i="1" l="1"/>
  <c r="I23" i="1"/>
  <c r="M5" i="1"/>
  <c r="K5" i="1"/>
  <c r="J5" i="1"/>
  <c r="J6" i="1"/>
  <c r="M6" i="1"/>
  <c r="M4" i="1"/>
  <c r="N4" i="1" s="1"/>
  <c r="H5" i="1"/>
  <c r="H4" i="1"/>
  <c r="M45" i="1" l="1"/>
  <c r="F45" i="1"/>
  <c r="M34" i="1" l="1"/>
  <c r="K34" i="1"/>
  <c r="J34" i="1"/>
  <c r="H34" i="1"/>
  <c r="H14" i="1"/>
  <c r="D19" i="1"/>
  <c r="D21" i="1"/>
  <c r="D14" i="1"/>
  <c r="D34" i="1"/>
  <c r="D25" i="1"/>
  <c r="M38" i="1" l="1"/>
  <c r="F11" i="1" l="1"/>
  <c r="H11" i="1"/>
  <c r="I11" i="1"/>
  <c r="J11" i="1"/>
  <c r="K11" i="1"/>
  <c r="L11" i="1"/>
  <c r="M11" i="1"/>
  <c r="N10" i="1"/>
  <c r="G10" i="1" l="1"/>
  <c r="G50" i="1" l="1"/>
  <c r="N50" i="1"/>
  <c r="M12" i="1" l="1"/>
  <c r="N8" i="1" l="1"/>
  <c r="F9" i="1" l="1"/>
  <c r="I9" i="1"/>
  <c r="J9" i="1"/>
  <c r="K9" i="1"/>
  <c r="L9" i="1"/>
  <c r="M9" i="1"/>
  <c r="E8" i="1"/>
  <c r="E40" i="1"/>
  <c r="G8" i="1" l="1"/>
  <c r="F52" i="1" l="1"/>
  <c r="H52" i="1"/>
  <c r="I52" i="1"/>
  <c r="J52" i="1"/>
  <c r="K52" i="1"/>
  <c r="L52" i="1"/>
  <c r="M52" i="1"/>
  <c r="I43" i="1" l="1"/>
  <c r="H43" i="1" l="1"/>
  <c r="H9" i="1" l="1"/>
  <c r="E21" i="1" l="1"/>
  <c r="F43" i="1" l="1"/>
  <c r="J43" i="1"/>
  <c r="K43" i="1"/>
  <c r="L43" i="1"/>
  <c r="M43" i="1"/>
  <c r="M24" i="1" l="1"/>
  <c r="N7" i="1" l="1"/>
  <c r="I15" i="1" l="1"/>
  <c r="J18" i="1" l="1"/>
  <c r="K18" i="1"/>
  <c r="I18" i="1"/>
  <c r="I16" i="1" s="1"/>
  <c r="I28" i="1" s="1"/>
  <c r="H36" i="1" l="1"/>
  <c r="L36" i="1"/>
  <c r="F36" i="1" l="1"/>
  <c r="N42" i="1" l="1"/>
  <c r="E42" i="1"/>
  <c r="G42" i="1" l="1"/>
  <c r="E5" i="1" l="1"/>
  <c r="G5" i="1" l="1"/>
  <c r="K36" i="1"/>
  <c r="I36" i="1"/>
  <c r="N17" i="1" l="1"/>
  <c r="N34" i="1" l="1"/>
  <c r="F15" i="1" l="1"/>
  <c r="E30" i="1" l="1"/>
  <c r="G30" i="1" s="1"/>
  <c r="E22" i="1"/>
  <c r="G22" i="1" s="1"/>
  <c r="E31" i="1" l="1"/>
  <c r="N41" i="1" l="1"/>
  <c r="E41" i="1"/>
  <c r="G41" i="1" s="1"/>
  <c r="E39" i="1" l="1"/>
  <c r="E12" i="1" l="1"/>
  <c r="G12" i="1" s="1"/>
  <c r="E47" i="1"/>
  <c r="E45" i="1" l="1"/>
  <c r="E26" i="1"/>
  <c r="G26" i="1" s="1"/>
  <c r="E13" i="1" l="1"/>
  <c r="G13" i="1" s="1"/>
  <c r="D15" i="1"/>
  <c r="E35" i="1"/>
  <c r="E34" i="1"/>
  <c r="E25" i="1"/>
  <c r="G25" i="1" s="1"/>
  <c r="E17" i="1"/>
  <c r="G17" i="1" s="1"/>
  <c r="E6" i="1"/>
  <c r="G6" i="1" s="1"/>
  <c r="E7" i="1"/>
  <c r="E14" i="1" l="1"/>
  <c r="G14" i="1" s="1"/>
  <c r="E19" i="1"/>
  <c r="G19" i="1" s="1"/>
  <c r="E33" i="1"/>
  <c r="E36" i="1" s="1"/>
  <c r="D36" i="1"/>
  <c r="G34" i="1"/>
  <c r="N12" i="1" l="1"/>
  <c r="E20" i="1" l="1"/>
  <c r="G20" i="1" s="1"/>
  <c r="D23" i="1"/>
  <c r="N51" i="1"/>
  <c r="E51" i="1"/>
  <c r="N49" i="1"/>
  <c r="L48" i="1"/>
  <c r="J48" i="1"/>
  <c r="M48" i="1"/>
  <c r="N46" i="1"/>
  <c r="H48" i="1"/>
  <c r="K48" i="1"/>
  <c r="I48" i="1"/>
  <c r="N39" i="1"/>
  <c r="N38" i="1"/>
  <c r="N11" i="1"/>
  <c r="M33" i="1"/>
  <c r="M32" i="1"/>
  <c r="L32" i="1"/>
  <c r="J32" i="1"/>
  <c r="I32" i="1"/>
  <c r="I37" i="1" s="1"/>
  <c r="H32" i="1"/>
  <c r="H37" i="1" s="1"/>
  <c r="N31" i="1"/>
  <c r="K32" i="1"/>
  <c r="K37" i="1" s="1"/>
  <c r="N30" i="1"/>
  <c r="N29" i="1"/>
  <c r="F29" i="1"/>
  <c r="E29" i="1" s="1"/>
  <c r="L27" i="1"/>
  <c r="J27" i="1"/>
  <c r="H27" i="1"/>
  <c r="F27" i="1"/>
  <c r="N26" i="1"/>
  <c r="M27" i="1"/>
  <c r="N24" i="1"/>
  <c r="E24" i="1"/>
  <c r="L23" i="1"/>
  <c r="J23" i="1"/>
  <c r="H23" i="1"/>
  <c r="F23" i="1"/>
  <c r="N22" i="1"/>
  <c r="M23" i="1"/>
  <c r="N20" i="1"/>
  <c r="N19" i="1"/>
  <c r="M18" i="1"/>
  <c r="L18" i="1"/>
  <c r="H18" i="1"/>
  <c r="F18" i="1"/>
  <c r="N18" i="1"/>
  <c r="M15" i="1"/>
  <c r="L15" i="1"/>
  <c r="K15" i="1"/>
  <c r="J15" i="1"/>
  <c r="H15" i="1"/>
  <c r="N14" i="1"/>
  <c r="N13" i="1"/>
  <c r="N6" i="1"/>
  <c r="M36" i="1" l="1"/>
  <c r="M37" i="1" s="1"/>
  <c r="J33" i="1"/>
  <c r="J36" i="1" s="1"/>
  <c r="J37" i="1" s="1"/>
  <c r="F16" i="1"/>
  <c r="N52" i="1"/>
  <c r="E46" i="1"/>
  <c r="G46" i="1" s="1"/>
  <c r="D48" i="1"/>
  <c r="N43" i="1"/>
  <c r="G27" i="1"/>
  <c r="D11" i="1"/>
  <c r="G47" i="1"/>
  <c r="G35" i="1"/>
  <c r="J16" i="1"/>
  <c r="J28" i="1" s="1"/>
  <c r="L16" i="1"/>
  <c r="H16" i="1"/>
  <c r="H28" i="1" s="1"/>
  <c r="N32" i="1"/>
  <c r="K23" i="1"/>
  <c r="N15" i="1"/>
  <c r="G24" i="1"/>
  <c r="N25" i="1"/>
  <c r="N27" i="1" s="1"/>
  <c r="N35" i="1"/>
  <c r="N47" i="1"/>
  <c r="M16" i="1"/>
  <c r="M28" i="1" s="1"/>
  <c r="K27" i="1"/>
  <c r="N45" i="1"/>
  <c r="N21" i="1"/>
  <c r="N23" i="1" s="1"/>
  <c r="N33" i="1" l="1"/>
  <c r="N36" i="1" s="1"/>
  <c r="N37" i="1" s="1"/>
  <c r="E11" i="1"/>
  <c r="D52" i="1"/>
  <c r="I44" i="1"/>
  <c r="I53" i="1" s="1"/>
  <c r="G15" i="1"/>
  <c r="G31" i="1"/>
  <c r="G51" i="1"/>
  <c r="G39" i="1"/>
  <c r="N48" i="1"/>
  <c r="J44" i="1"/>
  <c r="J53" i="1" s="1"/>
  <c r="H44" i="1"/>
  <c r="K16" i="1"/>
  <c r="K28" i="1" s="1"/>
  <c r="N16" i="1"/>
  <c r="N28" i="1" s="1"/>
  <c r="L44" i="1"/>
  <c r="L53" i="1" s="1"/>
  <c r="D32" i="1"/>
  <c r="D37" i="1" s="1"/>
  <c r="F32" i="1"/>
  <c r="F37" i="1" s="1"/>
  <c r="G49" i="1" l="1"/>
  <c r="G52" i="1" s="1"/>
  <c r="G11" i="1"/>
  <c r="E52" i="1"/>
  <c r="G32" i="1"/>
  <c r="F28" i="1"/>
  <c r="F44" i="1" s="1"/>
  <c r="E15" i="1"/>
  <c r="K44" i="1"/>
  <c r="K53" i="1" s="1"/>
  <c r="F48" i="1"/>
  <c r="D18" i="1"/>
  <c r="G18" i="1"/>
  <c r="E32" i="1"/>
  <c r="E37" i="1" s="1"/>
  <c r="G33" i="1"/>
  <c r="G36" i="1" s="1"/>
  <c r="H53" i="1"/>
  <c r="G37" i="1" l="1"/>
  <c r="F53" i="1"/>
  <c r="E18" i="1"/>
  <c r="E48" i="1" l="1"/>
  <c r="G45" i="1" l="1"/>
  <c r="G48" i="1" s="1"/>
  <c r="G21" i="1" l="1"/>
  <c r="G23" i="1" s="1"/>
  <c r="E23" i="1"/>
  <c r="E27" i="1" l="1"/>
  <c r="E16" i="1" s="1"/>
  <c r="E28" i="1" s="1"/>
  <c r="D27" i="1" l="1"/>
  <c r="D16" i="1" s="1"/>
  <c r="D28" i="1" s="1"/>
  <c r="G16" i="1"/>
  <c r="G28" i="1" s="1"/>
  <c r="G7" i="1" l="1"/>
  <c r="M44" i="1" l="1"/>
  <c r="M53" i="1" s="1"/>
  <c r="N5" i="1"/>
  <c r="N9" i="1" l="1"/>
  <c r="N44" i="1" s="1"/>
  <c r="N53" i="1" s="1"/>
  <c r="E38" i="1" l="1"/>
  <c r="D43" i="1"/>
  <c r="E43" i="1" l="1"/>
  <c r="G38" i="1"/>
  <c r="G43" i="1" s="1"/>
  <c r="E4" i="1" l="1"/>
  <c r="D9" i="1"/>
  <c r="D44" i="1" s="1"/>
  <c r="D53" i="1" s="1"/>
  <c r="G4" i="1" l="1"/>
  <c r="G9" i="1" s="1"/>
  <c r="G44" i="1" s="1"/>
  <c r="G53" i="1" s="1"/>
  <c r="E9" i="1"/>
  <c r="E44" i="1" s="1"/>
  <c r="E53" i="1" s="1"/>
</calcChain>
</file>

<file path=xl/sharedStrings.xml><?xml version="1.0" encoding="utf-8"?>
<sst xmlns="http://schemas.openxmlformats.org/spreadsheetml/2006/main" count="119" uniqueCount="117">
  <si>
    <t>Konto</t>
  </si>
  <si>
    <t>Opis</t>
  </si>
  <si>
    <t>Dospjela</t>
  </si>
  <si>
    <t>Nedospjela</t>
  </si>
  <si>
    <t>UKUPNO OVRHE</t>
  </si>
  <si>
    <t>1</t>
  </si>
  <si>
    <t>1613102</t>
  </si>
  <si>
    <t>Porez na kuće za odmor</t>
  </si>
  <si>
    <t>1614602</t>
  </si>
  <si>
    <t>Porez na tvrtku ili naziv</t>
  </si>
  <si>
    <t>1614301</t>
  </si>
  <si>
    <t xml:space="preserve">Porez na potrošnju </t>
  </si>
  <si>
    <t>Porez na korištenje javnih površina</t>
  </si>
  <si>
    <t>161</t>
  </si>
  <si>
    <t>Ukupno potraživanja za poreze</t>
  </si>
  <si>
    <t>1641901</t>
  </si>
  <si>
    <t>Potraživanja po osnovi naknade za zbrinjavanje kom. otpada na Kaštjunu</t>
  </si>
  <si>
    <t>Potraživanja za Ugovore o financiranju-stvarni troškovi gradnje</t>
  </si>
  <si>
    <t>Ostala potraživanja za usluge Grada Pule</t>
  </si>
  <si>
    <t>1641</t>
  </si>
  <si>
    <t>Potraživanja za prihode od financijske imovine-knjiga izlaznih računa</t>
  </si>
  <si>
    <t>1642</t>
  </si>
  <si>
    <t>Potraživanja za prihode od nefinancijske imovine</t>
  </si>
  <si>
    <t>1642101</t>
  </si>
  <si>
    <t>Potraživanja za koncesije-pom.dobro</t>
  </si>
  <si>
    <t>16421</t>
  </si>
  <si>
    <t>Potraživanja za dane koncesije</t>
  </si>
  <si>
    <t>1642201</t>
  </si>
  <si>
    <t>Potraživanje za stanarinu-najam</t>
  </si>
  <si>
    <t>1642203</t>
  </si>
  <si>
    <t>Potraživanja za najam javnih površina</t>
  </si>
  <si>
    <t>1642204</t>
  </si>
  <si>
    <t>Potraživanja za zakup poslovnog prostora</t>
  </si>
  <si>
    <t>1642207</t>
  </si>
  <si>
    <t>16422</t>
  </si>
  <si>
    <t>Potraživanja od zakupa i iznajmljivanja imovine</t>
  </si>
  <si>
    <t>16423</t>
  </si>
  <si>
    <t>Potraživanja za naknade za korištenje nefinancijske imovine</t>
  </si>
  <si>
    <t>16429002</t>
  </si>
  <si>
    <t>16429003</t>
  </si>
  <si>
    <t>Naknada za zadržavanje besp.izg.zgr.u prostoru-2963</t>
  </si>
  <si>
    <t>16429</t>
  </si>
  <si>
    <t>Potraživanja za ostale prihode od nefinancijske imovine</t>
  </si>
  <si>
    <t>164</t>
  </si>
  <si>
    <t>Potraživanja za prihode od imovine</t>
  </si>
  <si>
    <t>1652601</t>
  </si>
  <si>
    <t>Potraživanja od APN-a</t>
  </si>
  <si>
    <t>1652604</t>
  </si>
  <si>
    <t>1652605</t>
  </si>
  <si>
    <t>1652</t>
  </si>
  <si>
    <t>Potraživanja za prihode po posebnim propisima</t>
  </si>
  <si>
    <t>1653300</t>
  </si>
  <si>
    <t>1653200</t>
  </si>
  <si>
    <t>Potraživanja za komunalnu naknadu</t>
  </si>
  <si>
    <t>1653100</t>
  </si>
  <si>
    <t>Potraživanja za komunalni doprinos</t>
  </si>
  <si>
    <t>1653</t>
  </si>
  <si>
    <t>Potraživanja za komunalne doprinose i naknade</t>
  </si>
  <si>
    <t>165</t>
  </si>
  <si>
    <t>Potraživanja za upravne i administrativne pristojbe, pristojbe po posebnim propisima</t>
  </si>
  <si>
    <t>Potraživanja za prihode iz proračuna</t>
  </si>
  <si>
    <t>16815000</t>
  </si>
  <si>
    <t>Potraživanja za kazne za nepropisno parkirana vozila</t>
  </si>
  <si>
    <t>16815001</t>
  </si>
  <si>
    <t>168</t>
  </si>
  <si>
    <t>Potraživanja za kazne i upravne mjere</t>
  </si>
  <si>
    <t>16</t>
  </si>
  <si>
    <t>Potraživanja za prihode poslovanja</t>
  </si>
  <si>
    <t>1721101
1721102
1721110
1721111
1721112</t>
  </si>
  <si>
    <t>Potraživanja od prodaje stanova</t>
  </si>
  <si>
    <t>17212001</t>
  </si>
  <si>
    <t>Potraživanja od prodaje nekretnina-poslovni prostori</t>
  </si>
  <si>
    <t>1711101
1711103</t>
  </si>
  <si>
    <t>Potraživanja od prodaje nekretnina-zemljište</t>
  </si>
  <si>
    <t>17</t>
  </si>
  <si>
    <t>Potraživanja od prodaje nefinancijske imovine</t>
  </si>
  <si>
    <t>1291101</t>
  </si>
  <si>
    <t>1292104</t>
  </si>
  <si>
    <t>Ostala nespomenuta potraživanja</t>
  </si>
  <si>
    <t>Ostala potraživanja za predujmove i naknade koje se refundiraju i ostala nespomenuta potraživanja</t>
  </si>
  <si>
    <t>Potraživanja iz ranijih godina dospjela</t>
  </si>
  <si>
    <t>Prijavljeno u stečaj ili likvidaciju-saldo</t>
  </si>
  <si>
    <t>Prijavljeno u postupak predstečajne nagodbe-saldo</t>
  </si>
  <si>
    <t>Potraživanja za naknadu za uređenje voda-stambeni pr.</t>
  </si>
  <si>
    <t>Potraživanja za naknadu za uređenje voda-poslovni pr.</t>
  </si>
  <si>
    <t xml:space="preserve">Potraživanja za naknadu za priključke </t>
  </si>
  <si>
    <t>Potraživanja za kazne za parkirališta</t>
  </si>
  <si>
    <t>Potraživanja za nakn.za uređ.voda-zakupci</t>
  </si>
  <si>
    <t>163</t>
  </si>
  <si>
    <t>Grad Pula - potraživanja za bolovanje</t>
  </si>
  <si>
    <t>1683102</t>
  </si>
  <si>
    <t>Potraživanja za ostale prihode - parnični troškovi</t>
  </si>
  <si>
    <t>1683103</t>
  </si>
  <si>
    <t>Potraživanja za ostale prihode - presuda Monte Zaro</t>
  </si>
  <si>
    <t>Redni
broj</t>
  </si>
  <si>
    <t>SVEUKUPNO</t>
  </si>
  <si>
    <t>Potraživanja za spomeničku rentu 100%</t>
  </si>
  <si>
    <t>124
1291
1292</t>
  </si>
  <si>
    <t>1681600</t>
  </si>
  <si>
    <t xml:space="preserve">Kazne po prekršajnom nalogu-porezna uprava                                     </t>
  </si>
  <si>
    <t>161340</t>
  </si>
  <si>
    <t>Porez na promet nekretnina 1783</t>
  </si>
  <si>
    <t>6</t>
  </si>
  <si>
    <t>129130</t>
  </si>
  <si>
    <t>Potraživanja za dane predujmove za EU projekte</t>
  </si>
  <si>
    <t>163612</t>
  </si>
  <si>
    <t>Potraživanja tek.pom.pror.korisnik iz pror.koji im nije nadležan - OŠ</t>
  </si>
  <si>
    <t>Poslane opomene u 2021.</t>
  </si>
  <si>
    <t>Potraživanja (stanje 30.6.)</t>
  </si>
  <si>
    <t>Potraživanja tekuće 2021. godine dospjela</t>
  </si>
  <si>
    <t>Mjenice i zadužnice
u 2021. - saldo</t>
  </si>
  <si>
    <t>GRAD PULA - POLA STANJE POTRAŽIVANJA NA DAN 30.6.2021.</t>
  </si>
  <si>
    <t>Ovrhe saldo
30.6.2021.</t>
  </si>
  <si>
    <t>13 (9+10+11+12)</t>
  </si>
  <si>
    <t>8</t>
  </si>
  <si>
    <t>12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</si>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</sst>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i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4" fontId="0" fillId="0" borderId="1" xfId="0" applyNumberFormat="1" applyFill="1" applyBorder="1" applyAlignment="1" applyProtection="1">
      <alignment wrapText="1"/>
      <protection locked="0"/>
    </xf>
    <xf numFmtId="4" fontId="2" fillId="0" borderId="1" xfId="0" applyNumberFormat="1" applyFont="1" applyFill="1" applyBorder="1" applyAlignment="1" applyProtection="1">
      <alignment wrapText="1"/>
      <protection locked="0"/>
    </xf>
    <xf numFmtId="0" fontId="0" fillId="0" borderId="0" xfId="0" applyFill="1" applyAlignment="1"/>
    <xf numFmtId="0" fontId="6" fillId="0" borderId="0" xfId="0" applyFont="1" applyAlignment="1"/>
    <xf numFmtId="0" fontId="0" fillId="0" borderId="0" xfId="0" applyAlignment="1"/>
    <xf numFmtId="0" fontId="6" fillId="0" borderId="0" xfId="0" applyFont="1" applyFill="1" applyAlignment="1"/>
    <xf numFmtId="4" fontId="0" fillId="0" borderId="0" xfId="0" applyNumberFormat="1"/>
    <xf numFmtId="0" fontId="6" fillId="0" borderId="0" xfId="0" applyFont="1" applyAlignment="1">
      <alignment vertical="center"/>
    </xf>
    <xf numFmtId="4" fontId="0" fillId="0" borderId="1" xfId="0" applyNumberFormat="1" applyFill="1" applyBorder="1" applyAlignment="1" applyProtection="1">
      <alignment horizontal="right" wrapText="1"/>
      <protection locked="0"/>
    </xf>
    <xf numFmtId="4" fontId="2" fillId="0" borderId="1" xfId="0" applyNumberFormat="1" applyFont="1" applyFill="1" applyBorder="1" applyAlignment="1" applyProtection="1">
      <alignment horizontal="right" wrapText="1"/>
      <protection locked="0"/>
    </xf>
    <xf numFmtId="49" fontId="2" fillId="0" borderId="1" xfId="0" applyNumberFormat="1" applyFont="1" applyFill="1" applyBorder="1" applyAlignment="1">
      <alignment horizontal="left" wrapText="1"/>
    </xf>
    <xf numFmtId="4" fontId="0" fillId="0" borderId="1" xfId="0" applyNumberFormat="1" applyFill="1" applyBorder="1"/>
    <xf numFmtId="49" fontId="2" fillId="0" borderId="1" xfId="0" applyNumberFormat="1" applyFont="1" applyFill="1" applyBorder="1" applyAlignment="1">
      <alignment horizontal="center" wrapText="1"/>
    </xf>
    <xf numFmtId="49" fontId="0" fillId="0" borderId="1" xfId="0" applyNumberForma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0" fillId="0" borderId="1" xfId="0" applyNumberFormat="1" applyFill="1" applyBorder="1" applyAlignment="1" applyProtection="1">
      <alignment vertical="center" wrapText="1"/>
      <protection locked="0"/>
    </xf>
    <xf numFmtId="4" fontId="2" fillId="0" borderId="1" xfId="0" applyNumberFormat="1" applyFont="1" applyFill="1" applyBorder="1" applyAlignment="1" applyProtection="1">
      <alignment vertical="center" wrapText="1"/>
      <protection locked="0"/>
    </xf>
    <xf numFmtId="49" fontId="5" fillId="2" borderId="1" xfId="0" applyNumberFormat="1" applyFont="1" applyFill="1" applyBorder="1" applyAlignment="1">
      <alignment horizontal="left" wrapText="1"/>
    </xf>
    <xf numFmtId="4" fontId="5" fillId="2" borderId="1" xfId="0" applyNumberFormat="1" applyFont="1" applyFill="1" applyBorder="1" applyAlignment="1" applyProtection="1">
      <alignment wrapText="1"/>
      <protection locked="0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1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wrapText="1"/>
    </xf>
    <xf numFmtId="4" fontId="4" fillId="0" borderId="1" xfId="0" applyNumberFormat="1" applyFont="1" applyFill="1" applyBorder="1" applyAlignment="1" applyProtection="1">
      <alignment horizontal="right" wrapText="1"/>
      <protection locked="0"/>
    </xf>
    <xf numFmtId="1" fontId="5" fillId="2" borderId="1" xfId="0" applyNumberFormat="1" applyFont="1" applyFill="1" applyBorder="1" applyAlignment="1">
      <alignment horizontal="center" wrapText="1"/>
    </xf>
    <xf numFmtId="4" fontId="5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4" fontId="4" fillId="0" borderId="1" xfId="0" applyNumberFormat="1" applyFont="1" applyFill="1" applyBorder="1" applyAlignment="1" applyProtection="1">
      <alignment wrapText="1"/>
      <protection locked="0"/>
    </xf>
    <xf numFmtId="0" fontId="0" fillId="0" borderId="1" xfId="0" applyFill="1" applyBorder="1" applyAlignment="1">
      <alignment horizontal="left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8" fillId="0" borderId="1" xfId="0" applyFont="1" applyFill="1" applyBorder="1" applyAlignment="1">
      <alignment horizontal="center" wrapText="1"/>
    </xf>
    <xf numFmtId="4" fontId="0" fillId="0" borderId="0" xfId="0" applyNumberForma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N57"/>
  <sheetViews>
    <sheetView showGridLines="0" tabSelected="1" zoomScaleNormal="100" zoomScaleSheetLayoutView="80" zoomScalePageLayoutView="50" workbookViewId="0">
      <pane xSplit="3" ySplit="2" topLeftCell="G48" activePane="bottomRight" state="frozen"/>
      <selection pane="topRight" activeCell="L1" sqref="L1"/>
      <selection pane="bottomLeft" activeCell="A3" sqref="A3"/>
      <selection pane="bottomRight" activeCell="J59" sqref="J59"/>
    </sheetView>
  </sheetViews>
  <sheetFormatPr defaultRowHeight="13.2" x14ac:dyDescent="0.25"/>
  <cols>
    <col min="1" max="1" width="5.88671875" customWidth="1"/>
    <col min="2" max="2" width="10" customWidth="1"/>
    <col min="3" max="3" width="47.5546875" customWidth="1"/>
    <col min="4" max="5" width="16.6640625" customWidth="1"/>
    <col min="6" max="6" width="15.6640625" bestFit="1" customWidth="1"/>
    <col min="7" max="8" width="16.6640625" customWidth="1"/>
    <col min="9" max="9" width="15.21875" bestFit="1" customWidth="1"/>
    <col min="10" max="10" width="14.33203125" bestFit="1" customWidth="1"/>
    <col min="11" max="11" width="12.6640625" bestFit="1" customWidth="1"/>
    <col min="12" max="12" width="13.21875" bestFit="1" customWidth="1"/>
    <col min="13" max="13" width="13.88671875" bestFit="1" customWidth="1"/>
    <col min="14" max="14" width="14" bestFit="1" customWidth="1"/>
    <col min="15" max="15" width="13.88671875" customWidth="1"/>
  </cols>
  <sheetData>
    <row r="1" spans="1:14" s="1" customFormat="1" ht="35.25" customHeight="1" x14ac:dyDescent="0.4">
      <c r="A1" s="58" t="s">
        <v>111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s="1" customFormat="1" ht="59.25" customHeight="1" x14ac:dyDescent="0.25">
      <c r="A2" s="18" t="s">
        <v>94</v>
      </c>
      <c r="B2" s="18" t="s">
        <v>0</v>
      </c>
      <c r="C2" s="19" t="s">
        <v>1</v>
      </c>
      <c r="D2" s="20" t="s">
        <v>108</v>
      </c>
      <c r="E2" s="20" t="s">
        <v>2</v>
      </c>
      <c r="F2" s="20" t="s">
        <v>3</v>
      </c>
      <c r="G2" s="20" t="s">
        <v>80</v>
      </c>
      <c r="H2" s="20" t="s">
        <v>109</v>
      </c>
      <c r="I2" s="20" t="s">
        <v>107</v>
      </c>
      <c r="J2" s="21" t="s">
        <v>81</v>
      </c>
      <c r="K2" s="21" t="s">
        <v>82</v>
      </c>
      <c r="L2" s="20" t="s">
        <v>110</v>
      </c>
      <c r="M2" s="21" t="s">
        <v>112</v>
      </c>
      <c r="N2" s="21" t="s">
        <v>4</v>
      </c>
    </row>
    <row r="3" spans="1:14" s="4" customFormat="1" ht="20.25" customHeight="1" x14ac:dyDescent="0.25">
      <c r="A3" s="22">
        <v>0</v>
      </c>
      <c r="B3" s="23" t="s">
        <v>5</v>
      </c>
      <c r="C3" s="24">
        <v>2</v>
      </c>
      <c r="D3" s="24">
        <v>3</v>
      </c>
      <c r="E3" s="24">
        <v>4</v>
      </c>
      <c r="F3" s="24">
        <v>5</v>
      </c>
      <c r="G3" s="24">
        <v>6</v>
      </c>
      <c r="H3" s="24">
        <v>7</v>
      </c>
      <c r="I3" s="24">
        <v>8</v>
      </c>
      <c r="J3" s="24">
        <v>9</v>
      </c>
      <c r="K3" s="24">
        <v>10</v>
      </c>
      <c r="L3" s="24">
        <v>11</v>
      </c>
      <c r="M3" s="24">
        <v>12</v>
      </c>
      <c r="N3" s="24" t="s">
        <v>113</v>
      </c>
    </row>
    <row r="4" spans="1:14" s="4" customFormat="1" x14ac:dyDescent="0.25">
      <c r="A4" s="25">
        <v>1</v>
      </c>
      <c r="B4" s="16" t="s">
        <v>6</v>
      </c>
      <c r="C4" s="26" t="s">
        <v>7</v>
      </c>
      <c r="D4" s="2">
        <f>35222.44+25813.39</f>
        <v>61035.83</v>
      </c>
      <c r="E4" s="2">
        <f>D4-F4</f>
        <v>35222.44</v>
      </c>
      <c r="F4" s="2">
        <v>25813.39</v>
      </c>
      <c r="G4" s="2">
        <f>E4-H4</f>
        <v>6112.1100000000006</v>
      </c>
      <c r="H4" s="2">
        <f>54923.72-F4</f>
        <v>29110.33</v>
      </c>
      <c r="I4" s="2">
        <v>11155.34</v>
      </c>
      <c r="J4" s="2">
        <v>0</v>
      </c>
      <c r="K4" s="2">
        <v>0</v>
      </c>
      <c r="L4" s="2">
        <v>0</v>
      </c>
      <c r="M4" s="2">
        <f>1481.66+451.66</f>
        <v>1933.3200000000002</v>
      </c>
      <c r="N4" s="2">
        <f>J4+K4+L4+M4</f>
        <v>1933.3200000000002</v>
      </c>
    </row>
    <row r="5" spans="1:14" s="4" customFormat="1" x14ac:dyDescent="0.25">
      <c r="A5" s="25">
        <v>2</v>
      </c>
      <c r="B5" s="16" t="s">
        <v>8</v>
      </c>
      <c r="C5" s="26" t="s">
        <v>9</v>
      </c>
      <c r="D5" s="2">
        <v>563676.17000000004</v>
      </c>
      <c r="E5" s="2">
        <f>D5-F5</f>
        <v>563382.65</v>
      </c>
      <c r="F5" s="2">
        <v>293.52</v>
      </c>
      <c r="G5" s="2">
        <f>E5-H5</f>
        <v>743798.12</v>
      </c>
      <c r="H5" s="2">
        <f>-180121.95-F5</f>
        <v>-180415.47</v>
      </c>
      <c r="I5" s="2">
        <v>0</v>
      </c>
      <c r="J5" s="2">
        <f>115437.55+43695.94</f>
        <v>159133.49</v>
      </c>
      <c r="K5" s="2">
        <f>60343.49+6083.89</f>
        <v>66427.38</v>
      </c>
      <c r="L5" s="2">
        <v>0</v>
      </c>
      <c r="M5" s="2">
        <f>226014.17+152400.96-40593.35</f>
        <v>337821.78</v>
      </c>
      <c r="N5" s="2">
        <f>J5+K5+L5+M5</f>
        <v>563382.65</v>
      </c>
    </row>
    <row r="6" spans="1:14" s="4" customFormat="1" x14ac:dyDescent="0.25">
      <c r="A6" s="25">
        <v>3</v>
      </c>
      <c r="B6" s="16" t="s">
        <v>10</v>
      </c>
      <c r="C6" s="26" t="s">
        <v>11</v>
      </c>
      <c r="D6" s="2">
        <v>539803.84</v>
      </c>
      <c r="E6" s="2">
        <f>D6-F6</f>
        <v>539803.84</v>
      </c>
      <c r="F6" s="2">
        <v>0</v>
      </c>
      <c r="G6" s="2">
        <f>E6-H6</f>
        <v>507807.11</v>
      </c>
      <c r="H6" s="2">
        <v>31996.73</v>
      </c>
      <c r="I6" s="2">
        <v>0</v>
      </c>
      <c r="J6" s="2">
        <f>18044.15+5072.76</f>
        <v>23116.910000000003</v>
      </c>
      <c r="K6" s="2">
        <v>2146.75</v>
      </c>
      <c r="L6" s="2">
        <v>0</v>
      </c>
      <c r="M6" s="2">
        <f>259360.86+79060.59</f>
        <v>338421.44999999995</v>
      </c>
      <c r="N6" s="2">
        <f>J6+K6+L6+M6</f>
        <v>363685.11</v>
      </c>
    </row>
    <row r="7" spans="1:14" s="4" customFormat="1" x14ac:dyDescent="0.25">
      <c r="A7" s="25">
        <v>4</v>
      </c>
      <c r="B7" s="15">
        <v>1613101</v>
      </c>
      <c r="C7" s="26" t="s">
        <v>12</v>
      </c>
      <c r="D7" s="2">
        <v>1513722.41</v>
      </c>
      <c r="E7" s="2">
        <f>D7-F7</f>
        <v>1513722.41</v>
      </c>
      <c r="F7" s="2">
        <v>0</v>
      </c>
      <c r="G7" s="2">
        <f>E7-H7</f>
        <v>1241314.3299999998</v>
      </c>
      <c r="H7" s="2">
        <v>272408.08</v>
      </c>
      <c r="I7" s="2">
        <v>0</v>
      </c>
      <c r="J7" s="2">
        <v>0</v>
      </c>
      <c r="K7" s="2">
        <v>0</v>
      </c>
      <c r="L7" s="2">
        <v>302577.83</v>
      </c>
      <c r="M7" s="2">
        <v>110244.07</v>
      </c>
      <c r="N7" s="2">
        <f>J7+K7+L7+M7</f>
        <v>412821.9</v>
      </c>
    </row>
    <row r="8" spans="1:14" s="4" customFormat="1" x14ac:dyDescent="0.25">
      <c r="A8" s="25">
        <v>5</v>
      </c>
      <c r="B8" s="16" t="s">
        <v>100</v>
      </c>
      <c r="C8" s="27" t="s">
        <v>101</v>
      </c>
      <c r="D8" s="2">
        <v>5517975.54</v>
      </c>
      <c r="E8" s="2">
        <f>D8-F8</f>
        <v>5517975.54</v>
      </c>
      <c r="F8" s="2">
        <v>0</v>
      </c>
      <c r="G8" s="2">
        <f>E8-H8</f>
        <v>5517975.54</v>
      </c>
      <c r="H8" s="2">
        <v>0</v>
      </c>
      <c r="I8" s="2">
        <v>0</v>
      </c>
      <c r="J8" s="2">
        <v>54059.3</v>
      </c>
      <c r="K8" s="2">
        <v>0</v>
      </c>
      <c r="L8" s="2">
        <v>0</v>
      </c>
      <c r="M8" s="2">
        <v>0</v>
      </c>
      <c r="N8" s="2">
        <f>J8+K8+L8+M8</f>
        <v>54059.3</v>
      </c>
    </row>
    <row r="9" spans="1:14" s="5" customFormat="1" ht="30.75" customHeight="1" x14ac:dyDescent="0.25">
      <c r="A9" s="28" t="s">
        <v>102</v>
      </c>
      <c r="B9" s="29" t="s">
        <v>13</v>
      </c>
      <c r="C9" s="30" t="s">
        <v>14</v>
      </c>
      <c r="D9" s="31">
        <f t="shared" ref="D9:N9" si="0">SUM(D4:D8)</f>
        <v>8196213.79</v>
      </c>
      <c r="E9" s="31">
        <f t="shared" si="0"/>
        <v>8170106.8799999999</v>
      </c>
      <c r="F9" s="31">
        <f t="shared" si="0"/>
        <v>26106.91</v>
      </c>
      <c r="G9" s="31">
        <f t="shared" si="0"/>
        <v>8017007.21</v>
      </c>
      <c r="H9" s="31">
        <f t="shared" si="0"/>
        <v>153099.66999999998</v>
      </c>
      <c r="I9" s="31">
        <f t="shared" si="0"/>
        <v>11155.34</v>
      </c>
      <c r="J9" s="31">
        <f t="shared" si="0"/>
        <v>236309.7</v>
      </c>
      <c r="K9" s="31">
        <f t="shared" si="0"/>
        <v>68574.13</v>
      </c>
      <c r="L9" s="31">
        <f t="shared" si="0"/>
        <v>302577.83</v>
      </c>
      <c r="M9" s="31">
        <f t="shared" si="0"/>
        <v>788420.62000000011</v>
      </c>
      <c r="N9" s="31">
        <f t="shared" si="0"/>
        <v>1395882.28</v>
      </c>
    </row>
    <row r="10" spans="1:14" s="57" customFormat="1" ht="26.4" x14ac:dyDescent="0.25">
      <c r="A10" s="32">
        <v>7</v>
      </c>
      <c r="B10" s="17" t="s">
        <v>105</v>
      </c>
      <c r="C10" s="33" t="s">
        <v>106</v>
      </c>
      <c r="D10" s="34">
        <v>5388.07</v>
      </c>
      <c r="E10" s="34">
        <v>5388.07</v>
      </c>
      <c r="F10" s="35">
        <v>0</v>
      </c>
      <c r="G10" s="34">
        <f>E10-H10</f>
        <v>5388.07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4">
        <f>J10+K10+L10+M10</f>
        <v>0</v>
      </c>
    </row>
    <row r="11" spans="1:14" s="5" customFormat="1" ht="30.75" customHeight="1" x14ac:dyDescent="0.25">
      <c r="A11" s="28" t="s">
        <v>114</v>
      </c>
      <c r="B11" s="36" t="s">
        <v>88</v>
      </c>
      <c r="C11" s="30" t="s">
        <v>60</v>
      </c>
      <c r="D11" s="37">
        <f t="shared" ref="D11:N11" si="1">SUM(D10:D10)</f>
        <v>5388.07</v>
      </c>
      <c r="E11" s="37">
        <f t="shared" si="1"/>
        <v>5388.07</v>
      </c>
      <c r="F11" s="37">
        <f t="shared" si="1"/>
        <v>0</v>
      </c>
      <c r="G11" s="37">
        <f t="shared" si="1"/>
        <v>5388.07</v>
      </c>
      <c r="H11" s="37">
        <f t="shared" si="1"/>
        <v>0</v>
      </c>
      <c r="I11" s="37">
        <f t="shared" si="1"/>
        <v>0</v>
      </c>
      <c r="J11" s="37">
        <f t="shared" si="1"/>
        <v>0</v>
      </c>
      <c r="K11" s="37">
        <f t="shared" si="1"/>
        <v>0</v>
      </c>
      <c r="L11" s="37">
        <f t="shared" si="1"/>
        <v>0</v>
      </c>
      <c r="M11" s="37">
        <f t="shared" si="1"/>
        <v>0</v>
      </c>
      <c r="N11" s="37">
        <f t="shared" si="1"/>
        <v>0</v>
      </c>
    </row>
    <row r="12" spans="1:14" s="4" customFormat="1" ht="26.4" x14ac:dyDescent="0.25">
      <c r="A12" s="25">
        <v>9</v>
      </c>
      <c r="B12" s="16" t="s">
        <v>15</v>
      </c>
      <c r="C12" s="27" t="s">
        <v>16</v>
      </c>
      <c r="D12" s="2">
        <v>294241.44</v>
      </c>
      <c r="E12" s="2">
        <f>D12-F12</f>
        <v>294241.44</v>
      </c>
      <c r="F12" s="2">
        <v>0</v>
      </c>
      <c r="G12" s="2">
        <f t="shared" ref="G12:G14" si="2">E12-H12</f>
        <v>294241.44</v>
      </c>
      <c r="H12" s="2">
        <v>0</v>
      </c>
      <c r="I12" s="11">
        <v>0</v>
      </c>
      <c r="J12" s="10">
        <v>0</v>
      </c>
      <c r="K12" s="10">
        <v>0</v>
      </c>
      <c r="L12" s="10">
        <v>0</v>
      </c>
      <c r="M12" s="2">
        <f>294241.44-69374.52</f>
        <v>224866.91999999998</v>
      </c>
      <c r="N12" s="2">
        <f>J12+K12+L12+M12</f>
        <v>224866.91999999998</v>
      </c>
    </row>
    <row r="13" spans="1:14" s="4" customFormat="1" ht="26.4" x14ac:dyDescent="0.25">
      <c r="A13" s="25">
        <v>10</v>
      </c>
      <c r="B13" s="16" t="s">
        <v>15</v>
      </c>
      <c r="C13" s="27" t="s">
        <v>17</v>
      </c>
      <c r="D13" s="2">
        <v>1410998.67</v>
      </c>
      <c r="E13" s="2">
        <f>D13-F13</f>
        <v>1410998.67</v>
      </c>
      <c r="F13" s="2">
        <v>0</v>
      </c>
      <c r="G13" s="2">
        <f t="shared" si="2"/>
        <v>1410998.67</v>
      </c>
      <c r="H13" s="2">
        <v>0</v>
      </c>
      <c r="I13" s="2">
        <v>0</v>
      </c>
      <c r="J13" s="10">
        <v>1260029.6499999999</v>
      </c>
      <c r="K13" s="10">
        <v>0</v>
      </c>
      <c r="L13" s="10">
        <v>0</v>
      </c>
      <c r="M13" s="2">
        <v>0</v>
      </c>
      <c r="N13" s="2">
        <f>J13+K13+L13+M13</f>
        <v>1260029.6499999999</v>
      </c>
    </row>
    <row r="14" spans="1:14" s="4" customFormat="1" x14ac:dyDescent="0.25">
      <c r="A14" s="25">
        <v>11</v>
      </c>
      <c r="B14" s="16" t="s">
        <v>15</v>
      </c>
      <c r="C14" s="27" t="s">
        <v>18</v>
      </c>
      <c r="D14" s="2">
        <f>315145.84+1445272.01</f>
        <v>1760417.85</v>
      </c>
      <c r="E14" s="2">
        <f>D14-F14</f>
        <v>1760417.85</v>
      </c>
      <c r="F14" s="2">
        <v>0</v>
      </c>
      <c r="G14" s="2">
        <f t="shared" si="2"/>
        <v>202444.09000000032</v>
      </c>
      <c r="H14" s="2">
        <f>1441713.13+112353.75+348+312.5+3246.38</f>
        <v>1557973.7599999998</v>
      </c>
      <c r="I14" s="10">
        <v>0</v>
      </c>
      <c r="J14" s="10">
        <v>0</v>
      </c>
      <c r="K14" s="10">
        <v>0</v>
      </c>
      <c r="L14" s="10">
        <v>0</v>
      </c>
      <c r="M14" s="2">
        <v>115742.07</v>
      </c>
      <c r="N14" s="2">
        <f>J14+K14+L14+M14</f>
        <v>115742.07</v>
      </c>
    </row>
    <row r="15" spans="1:14" s="4" customFormat="1" ht="26.4" x14ac:dyDescent="0.25">
      <c r="A15" s="38" t="s">
        <v>115</v>
      </c>
      <c r="B15" s="39" t="s">
        <v>19</v>
      </c>
      <c r="C15" s="40" t="s">
        <v>20</v>
      </c>
      <c r="D15" s="41">
        <f>SUM(D12:D14)</f>
        <v>3465657.96</v>
      </c>
      <c r="E15" s="41">
        <f t="shared" ref="E15:N15" si="3">SUM(E12:E14)</f>
        <v>3465657.96</v>
      </c>
      <c r="F15" s="41">
        <f t="shared" si="3"/>
        <v>0</v>
      </c>
      <c r="G15" s="41">
        <f t="shared" si="3"/>
        <v>1907684.2000000002</v>
      </c>
      <c r="H15" s="41">
        <f t="shared" si="3"/>
        <v>1557973.7599999998</v>
      </c>
      <c r="I15" s="41">
        <f t="shared" si="3"/>
        <v>0</v>
      </c>
      <c r="J15" s="41">
        <f t="shared" si="3"/>
        <v>1260029.6499999999</v>
      </c>
      <c r="K15" s="41">
        <f t="shared" si="3"/>
        <v>0</v>
      </c>
      <c r="L15" s="41">
        <f t="shared" si="3"/>
        <v>0</v>
      </c>
      <c r="M15" s="41">
        <f t="shared" si="3"/>
        <v>340608.99</v>
      </c>
      <c r="N15" s="41">
        <f t="shared" si="3"/>
        <v>1600638.64</v>
      </c>
    </row>
    <row r="16" spans="1:14" s="4" customFormat="1" x14ac:dyDescent="0.25">
      <c r="A16" s="42">
        <v>13</v>
      </c>
      <c r="B16" s="39" t="s">
        <v>21</v>
      </c>
      <c r="C16" s="40" t="s">
        <v>22</v>
      </c>
      <c r="D16" s="41">
        <f t="shared" ref="D16:N16" si="4">D18+D23+D24+D27</f>
        <v>30820742.610000003</v>
      </c>
      <c r="E16" s="41">
        <f t="shared" si="4"/>
        <v>29540212.73</v>
      </c>
      <c r="F16" s="41">
        <f t="shared" si="4"/>
        <v>1280529.8799999999</v>
      </c>
      <c r="G16" s="41">
        <f t="shared" si="4"/>
        <v>25882758.520000003</v>
      </c>
      <c r="H16" s="41">
        <f t="shared" si="4"/>
        <v>3657454.21</v>
      </c>
      <c r="I16" s="41">
        <f t="shared" si="4"/>
        <v>4389950.53</v>
      </c>
      <c r="J16" s="41">
        <f t="shared" si="4"/>
        <v>6994050.5299999993</v>
      </c>
      <c r="K16" s="41">
        <f t="shared" si="4"/>
        <v>1245093.9600000002</v>
      </c>
      <c r="L16" s="41">
        <f t="shared" si="4"/>
        <v>50177.86</v>
      </c>
      <c r="M16" s="41">
        <f t="shared" si="4"/>
        <v>11087196.33</v>
      </c>
      <c r="N16" s="41">
        <f t="shared" si="4"/>
        <v>19376518.68</v>
      </c>
    </row>
    <row r="17" spans="1:14" s="4" customFormat="1" x14ac:dyDescent="0.25">
      <c r="A17" s="25">
        <v>14</v>
      </c>
      <c r="B17" s="16" t="s">
        <v>23</v>
      </c>
      <c r="C17" s="26" t="s">
        <v>24</v>
      </c>
      <c r="D17" s="2">
        <v>1236122.02</v>
      </c>
      <c r="E17" s="2">
        <f t="shared" ref="E17:E22" si="5">D17-F17</f>
        <v>1236122.02</v>
      </c>
      <c r="F17" s="2">
        <v>0</v>
      </c>
      <c r="G17" s="2">
        <f>E17-H17</f>
        <v>471698.30000000005</v>
      </c>
      <c r="H17" s="2">
        <v>764423.72</v>
      </c>
      <c r="I17" s="2">
        <v>0</v>
      </c>
      <c r="J17" s="2">
        <v>0</v>
      </c>
      <c r="K17" s="2">
        <v>0</v>
      </c>
      <c r="L17" s="2">
        <v>0</v>
      </c>
      <c r="M17" s="2">
        <v>298540</v>
      </c>
      <c r="N17" s="2">
        <f t="shared" ref="N17:N24" si="6">J17+K17+L17+M17</f>
        <v>298540</v>
      </c>
    </row>
    <row r="18" spans="1:14" s="4" customFormat="1" x14ac:dyDescent="0.25">
      <c r="A18" s="42">
        <v>15</v>
      </c>
      <c r="B18" s="39" t="s">
        <v>25</v>
      </c>
      <c r="C18" s="40" t="s">
        <v>26</v>
      </c>
      <c r="D18" s="41">
        <f t="shared" ref="D18:N18" si="7">D17</f>
        <v>1236122.02</v>
      </c>
      <c r="E18" s="41">
        <f t="shared" si="7"/>
        <v>1236122.02</v>
      </c>
      <c r="F18" s="41">
        <f t="shared" si="7"/>
        <v>0</v>
      </c>
      <c r="G18" s="41">
        <f t="shared" si="7"/>
        <v>471698.30000000005</v>
      </c>
      <c r="H18" s="41">
        <f t="shared" si="7"/>
        <v>764423.72</v>
      </c>
      <c r="I18" s="41">
        <f>I17</f>
        <v>0</v>
      </c>
      <c r="J18" s="41">
        <f>J17</f>
        <v>0</v>
      </c>
      <c r="K18" s="41">
        <f>K17</f>
        <v>0</v>
      </c>
      <c r="L18" s="41">
        <f t="shared" si="7"/>
        <v>0</v>
      </c>
      <c r="M18" s="41">
        <f t="shared" si="7"/>
        <v>298540</v>
      </c>
      <c r="N18" s="41">
        <f t="shared" si="7"/>
        <v>298540</v>
      </c>
    </row>
    <row r="19" spans="1:14" s="4" customFormat="1" x14ac:dyDescent="0.25">
      <c r="A19" s="25">
        <v>16</v>
      </c>
      <c r="B19" s="16" t="s">
        <v>27</v>
      </c>
      <c r="C19" s="26" t="s">
        <v>28</v>
      </c>
      <c r="D19" s="2">
        <f>1539046.72+379036.09</f>
        <v>1918082.81</v>
      </c>
      <c r="E19" s="2">
        <f t="shared" si="5"/>
        <v>1918082.81</v>
      </c>
      <c r="F19" s="2">
        <v>0</v>
      </c>
      <c r="G19" s="2">
        <f>E19-H19</f>
        <v>1779573.6300000001</v>
      </c>
      <c r="H19" s="2">
        <v>138509.18</v>
      </c>
      <c r="I19" s="2">
        <v>1427625.37</v>
      </c>
      <c r="J19" s="2">
        <v>0</v>
      </c>
      <c r="K19" s="2">
        <v>0</v>
      </c>
      <c r="L19" s="2">
        <v>0</v>
      </c>
      <c r="M19" s="13">
        <v>1348680.46</v>
      </c>
      <c r="N19" s="2">
        <f t="shared" si="6"/>
        <v>1348680.46</v>
      </c>
    </row>
    <row r="20" spans="1:14" s="4" customFormat="1" x14ac:dyDescent="0.25">
      <c r="A20" s="25">
        <v>17</v>
      </c>
      <c r="B20" s="14" t="s">
        <v>29</v>
      </c>
      <c r="C20" s="26" t="s">
        <v>30</v>
      </c>
      <c r="D20" s="2">
        <v>490043.71</v>
      </c>
      <c r="E20" s="2">
        <f t="shared" si="5"/>
        <v>490043.71</v>
      </c>
      <c r="F20" s="2">
        <v>0</v>
      </c>
      <c r="G20" s="2">
        <f>E20-H20</f>
        <v>484761.28</v>
      </c>
      <c r="H20" s="2">
        <v>5282.43</v>
      </c>
      <c r="I20" s="2">
        <v>0</v>
      </c>
      <c r="J20" s="2">
        <v>0</v>
      </c>
      <c r="K20" s="2">
        <v>0</v>
      </c>
      <c r="L20" s="2">
        <v>0</v>
      </c>
      <c r="M20" s="2">
        <v>343101.06</v>
      </c>
      <c r="N20" s="2">
        <f t="shared" si="6"/>
        <v>343101.06</v>
      </c>
    </row>
    <row r="21" spans="1:14" s="4" customFormat="1" x14ac:dyDescent="0.25">
      <c r="A21" s="25">
        <v>18</v>
      </c>
      <c r="B21" s="16" t="s">
        <v>31</v>
      </c>
      <c r="C21" s="27" t="s">
        <v>32</v>
      </c>
      <c r="D21" s="2">
        <f>14127905.37+22332.38</f>
        <v>14150237.75</v>
      </c>
      <c r="E21" s="2">
        <f t="shared" si="5"/>
        <v>14127905.369999999</v>
      </c>
      <c r="F21" s="3">
        <v>22332.38</v>
      </c>
      <c r="G21" s="2">
        <f>E21-H21</f>
        <v>13235190.779999999</v>
      </c>
      <c r="H21" s="3">
        <v>892714.59</v>
      </c>
      <c r="I21" s="3">
        <v>2310646.4900000002</v>
      </c>
      <c r="J21" s="3">
        <v>1305345.1200000001</v>
      </c>
      <c r="K21" s="3">
        <v>894140.56</v>
      </c>
      <c r="L21" s="3">
        <v>50177.86</v>
      </c>
      <c r="M21" s="3">
        <v>8601236.8900000006</v>
      </c>
      <c r="N21" s="2">
        <f t="shared" si="6"/>
        <v>10850900.43</v>
      </c>
    </row>
    <row r="22" spans="1:14" s="4" customFormat="1" x14ac:dyDescent="0.25">
      <c r="A22" s="25">
        <v>19</v>
      </c>
      <c r="B22" s="16" t="s">
        <v>33</v>
      </c>
      <c r="C22" s="27" t="s">
        <v>87</v>
      </c>
      <c r="D22" s="2">
        <v>165025.94</v>
      </c>
      <c r="E22" s="2">
        <f t="shared" si="5"/>
        <v>165025.94</v>
      </c>
      <c r="F22" s="10">
        <v>0</v>
      </c>
      <c r="G22" s="2">
        <f>E22-H22</f>
        <v>165025.94</v>
      </c>
      <c r="H22" s="10">
        <v>0</v>
      </c>
      <c r="I22" s="10">
        <v>33393.57</v>
      </c>
      <c r="J22" s="10">
        <v>27791.9</v>
      </c>
      <c r="K22" s="10">
        <v>27747.62</v>
      </c>
      <c r="L22" s="10">
        <v>0</v>
      </c>
      <c r="M22" s="10">
        <v>83587.350000000006</v>
      </c>
      <c r="N22" s="2">
        <f t="shared" si="6"/>
        <v>139126.87</v>
      </c>
    </row>
    <row r="23" spans="1:14" s="4" customFormat="1" x14ac:dyDescent="0.25">
      <c r="A23" s="42">
        <v>20</v>
      </c>
      <c r="B23" s="39" t="s">
        <v>34</v>
      </c>
      <c r="C23" s="40" t="s">
        <v>35</v>
      </c>
      <c r="D23" s="41">
        <f>SUM(D19:D22)</f>
        <v>16723390.209999999</v>
      </c>
      <c r="E23" s="41">
        <f t="shared" ref="E23:N23" si="8">SUM(E19:E22)</f>
        <v>16701057.829999998</v>
      </c>
      <c r="F23" s="41">
        <f t="shared" si="8"/>
        <v>22332.38</v>
      </c>
      <c r="G23" s="41">
        <f t="shared" si="8"/>
        <v>15664551.629999999</v>
      </c>
      <c r="H23" s="41">
        <f t="shared" si="8"/>
        <v>1036506.2</v>
      </c>
      <c r="I23" s="41">
        <f>SUM(I19:I22)</f>
        <v>3771665.43</v>
      </c>
      <c r="J23" s="41">
        <f t="shared" si="8"/>
        <v>1333137.02</v>
      </c>
      <c r="K23" s="41">
        <f t="shared" si="8"/>
        <v>921888.18</v>
      </c>
      <c r="L23" s="41">
        <f t="shared" si="8"/>
        <v>50177.86</v>
      </c>
      <c r="M23" s="41">
        <f t="shared" si="8"/>
        <v>10376605.76</v>
      </c>
      <c r="N23" s="41">
        <f t="shared" si="8"/>
        <v>12681808.819999998</v>
      </c>
    </row>
    <row r="24" spans="1:14" s="7" customFormat="1" ht="30.75" customHeight="1" x14ac:dyDescent="0.25">
      <c r="A24" s="28" t="s">
        <v>116</v>
      </c>
      <c r="B24" s="36" t="s">
        <v>36</v>
      </c>
      <c r="C24" s="30" t="s">
        <v>37</v>
      </c>
      <c r="D24" s="31">
        <v>11802601.4</v>
      </c>
      <c r="E24" s="31">
        <f t="shared" ref="E24:E26" si="9">D24-F24</f>
        <v>10552601.4</v>
      </c>
      <c r="F24" s="31">
        <v>1250000</v>
      </c>
      <c r="G24" s="37">
        <f t="shared" ref="G24:G26" si="10">E24-H24</f>
        <v>8915005.9900000002</v>
      </c>
      <c r="H24" s="31">
        <v>1637595.41</v>
      </c>
      <c r="I24" s="31">
        <v>0</v>
      </c>
      <c r="J24" s="31">
        <v>5550000</v>
      </c>
      <c r="K24" s="31">
        <v>210000</v>
      </c>
      <c r="L24" s="31">
        <v>0</v>
      </c>
      <c r="M24" s="31">
        <f>59813.51</f>
        <v>59813.51</v>
      </c>
      <c r="N24" s="37">
        <f t="shared" si="6"/>
        <v>5819813.5099999998</v>
      </c>
    </row>
    <row r="25" spans="1:14" s="4" customFormat="1" x14ac:dyDescent="0.25">
      <c r="A25" s="25">
        <v>22</v>
      </c>
      <c r="B25" s="12" t="s">
        <v>38</v>
      </c>
      <c r="C25" s="26" t="s">
        <v>96</v>
      </c>
      <c r="D25" s="2">
        <f>974250.67+8197.5</f>
        <v>982448.17</v>
      </c>
      <c r="E25" s="2">
        <f t="shared" si="9"/>
        <v>974250.67</v>
      </c>
      <c r="F25" s="2">
        <v>8197.5</v>
      </c>
      <c r="G25" s="2">
        <f t="shared" si="10"/>
        <v>778004.5</v>
      </c>
      <c r="H25" s="2">
        <v>196246.17</v>
      </c>
      <c r="I25" s="2">
        <v>552106.62</v>
      </c>
      <c r="J25" s="2">
        <v>110913.51</v>
      </c>
      <c r="K25" s="2">
        <v>113205.78</v>
      </c>
      <c r="L25" s="2">
        <v>0</v>
      </c>
      <c r="M25" s="2">
        <v>321851.33</v>
      </c>
      <c r="N25" s="2">
        <f>J25+K25+L25+M25</f>
        <v>545970.62</v>
      </c>
    </row>
    <row r="26" spans="1:14" s="4" customFormat="1" x14ac:dyDescent="0.25">
      <c r="A26" s="25">
        <v>23</v>
      </c>
      <c r="B26" s="12" t="s">
        <v>39</v>
      </c>
      <c r="C26" s="27" t="s">
        <v>40</v>
      </c>
      <c r="D26" s="2">
        <v>76180.81</v>
      </c>
      <c r="E26" s="2">
        <f t="shared" si="9"/>
        <v>76180.81</v>
      </c>
      <c r="F26" s="10">
        <v>0</v>
      </c>
      <c r="G26" s="2">
        <f t="shared" si="10"/>
        <v>53498.1</v>
      </c>
      <c r="H26" s="10">
        <v>22682.71</v>
      </c>
      <c r="I26" s="10">
        <v>66178.48</v>
      </c>
      <c r="J26" s="10">
        <v>0</v>
      </c>
      <c r="K26" s="10">
        <v>0</v>
      </c>
      <c r="L26" s="10">
        <v>0</v>
      </c>
      <c r="M26" s="10">
        <v>30385.73</v>
      </c>
      <c r="N26" s="2">
        <f>J26+K26+L26+M26</f>
        <v>30385.73</v>
      </c>
    </row>
    <row r="27" spans="1:14" s="6" customFormat="1" ht="26.4" x14ac:dyDescent="0.25">
      <c r="A27" s="42">
        <v>24</v>
      </c>
      <c r="B27" s="43" t="s">
        <v>41</v>
      </c>
      <c r="C27" s="40" t="s">
        <v>42</v>
      </c>
      <c r="D27" s="44">
        <f t="shared" ref="D27:N27" si="11">SUM(D25:D26)</f>
        <v>1058628.98</v>
      </c>
      <c r="E27" s="44">
        <f t="shared" si="11"/>
        <v>1050431.48</v>
      </c>
      <c r="F27" s="44">
        <f t="shared" si="11"/>
        <v>8197.5</v>
      </c>
      <c r="G27" s="44">
        <f t="shared" si="11"/>
        <v>831502.6</v>
      </c>
      <c r="H27" s="44">
        <f t="shared" si="11"/>
        <v>218928.88</v>
      </c>
      <c r="I27" s="44">
        <f t="shared" si="11"/>
        <v>618285.1</v>
      </c>
      <c r="J27" s="44">
        <f t="shared" si="11"/>
        <v>110913.51</v>
      </c>
      <c r="K27" s="44">
        <f t="shared" si="11"/>
        <v>113205.78</v>
      </c>
      <c r="L27" s="44">
        <f t="shared" si="11"/>
        <v>0</v>
      </c>
      <c r="M27" s="44">
        <f t="shared" si="11"/>
        <v>352237.06</v>
      </c>
      <c r="N27" s="44">
        <f t="shared" si="11"/>
        <v>576356.35</v>
      </c>
    </row>
    <row r="28" spans="1:14" s="5" customFormat="1" ht="30.75" customHeight="1" x14ac:dyDescent="0.25">
      <c r="A28" s="45">
        <v>25</v>
      </c>
      <c r="B28" s="36" t="s">
        <v>43</v>
      </c>
      <c r="C28" s="30" t="s">
        <v>44</v>
      </c>
      <c r="D28" s="46">
        <f t="shared" ref="D28:N28" si="12">D15+D16</f>
        <v>34286400.57</v>
      </c>
      <c r="E28" s="46">
        <f t="shared" si="12"/>
        <v>33005870.690000001</v>
      </c>
      <c r="F28" s="46">
        <f t="shared" si="12"/>
        <v>1280529.8799999999</v>
      </c>
      <c r="G28" s="46">
        <f t="shared" si="12"/>
        <v>27790442.720000003</v>
      </c>
      <c r="H28" s="46">
        <f t="shared" si="12"/>
        <v>5215427.97</v>
      </c>
      <c r="I28" s="46">
        <f t="shared" si="12"/>
        <v>4389950.53</v>
      </c>
      <c r="J28" s="46">
        <f t="shared" si="12"/>
        <v>8254080.1799999997</v>
      </c>
      <c r="K28" s="46">
        <f t="shared" si="12"/>
        <v>1245093.9600000002</v>
      </c>
      <c r="L28" s="46">
        <f>L15+L16</f>
        <v>50177.86</v>
      </c>
      <c r="M28" s="46">
        <f t="shared" si="12"/>
        <v>11427805.32</v>
      </c>
      <c r="N28" s="46">
        <f t="shared" si="12"/>
        <v>20977157.32</v>
      </c>
    </row>
    <row r="29" spans="1:14" s="4" customFormat="1" x14ac:dyDescent="0.25">
      <c r="A29" s="25">
        <v>26</v>
      </c>
      <c r="B29" s="12" t="s">
        <v>45</v>
      </c>
      <c r="C29" s="47" t="s">
        <v>46</v>
      </c>
      <c r="D29" s="2">
        <v>4438701.1900000004</v>
      </c>
      <c r="E29" s="2">
        <f>D29-F29</f>
        <v>0</v>
      </c>
      <c r="F29" s="2">
        <f>D29</f>
        <v>4438701.1900000004</v>
      </c>
      <c r="G29" s="2">
        <v>0</v>
      </c>
      <c r="H29" s="2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2">
        <f t="shared" ref="N29:N35" si="13">J29+K29+L29+M29</f>
        <v>0</v>
      </c>
    </row>
    <row r="30" spans="1:14" s="4" customFormat="1" x14ac:dyDescent="0.25">
      <c r="A30" s="25">
        <v>27</v>
      </c>
      <c r="B30" s="12" t="s">
        <v>47</v>
      </c>
      <c r="C30" s="47" t="s">
        <v>83</v>
      </c>
      <c r="D30" s="2">
        <v>2295979.58</v>
      </c>
      <c r="E30" s="2">
        <f>D30-F30</f>
        <v>2295979.58</v>
      </c>
      <c r="F30" s="11">
        <v>0</v>
      </c>
      <c r="G30" s="2">
        <f>E30-H30</f>
        <v>1742476.44</v>
      </c>
      <c r="H30" s="11">
        <v>553503.14</v>
      </c>
      <c r="I30" s="11">
        <v>1689385.85</v>
      </c>
      <c r="J30" s="11">
        <v>30705.81</v>
      </c>
      <c r="K30" s="11">
        <v>6452.67</v>
      </c>
      <c r="L30" s="11">
        <v>0</v>
      </c>
      <c r="M30" s="11">
        <v>496188.15</v>
      </c>
      <c r="N30" s="2">
        <f t="shared" si="13"/>
        <v>533346.63</v>
      </c>
    </row>
    <row r="31" spans="1:14" s="4" customFormat="1" x14ac:dyDescent="0.25">
      <c r="A31" s="25">
        <v>28</v>
      </c>
      <c r="B31" s="12" t="s">
        <v>48</v>
      </c>
      <c r="C31" s="47" t="s">
        <v>84</v>
      </c>
      <c r="D31" s="2">
        <v>7193054.0700000003</v>
      </c>
      <c r="E31" s="2">
        <f>D31-F31</f>
        <v>7193054.0700000003</v>
      </c>
      <c r="F31" s="11">
        <v>0</v>
      </c>
      <c r="G31" s="2">
        <f>E31-H31</f>
        <v>6486611.9900000002</v>
      </c>
      <c r="H31" s="11">
        <v>706442.08</v>
      </c>
      <c r="I31" s="11">
        <v>3887003.9</v>
      </c>
      <c r="J31" s="11">
        <v>2776381.21</v>
      </c>
      <c r="K31" s="11">
        <v>1175094.1499999999</v>
      </c>
      <c r="L31" s="11">
        <v>0</v>
      </c>
      <c r="M31" s="11">
        <v>575292.32999999996</v>
      </c>
      <c r="N31" s="2">
        <f t="shared" si="13"/>
        <v>4526767.6899999995</v>
      </c>
    </row>
    <row r="32" spans="1:14" s="4" customFormat="1" x14ac:dyDescent="0.25">
      <c r="A32" s="42">
        <v>29</v>
      </c>
      <c r="B32" s="43" t="s">
        <v>49</v>
      </c>
      <c r="C32" s="40" t="s">
        <v>50</v>
      </c>
      <c r="D32" s="44">
        <f t="shared" ref="D32:N32" si="14">SUM(D29:D31)</f>
        <v>13927734.84</v>
      </c>
      <c r="E32" s="44">
        <f t="shared" si="14"/>
        <v>9489033.6500000004</v>
      </c>
      <c r="F32" s="44">
        <f>SUM(F29:F31)</f>
        <v>4438701.1900000004</v>
      </c>
      <c r="G32" s="44">
        <f>SUM(G29:G31)</f>
        <v>8229088.4299999997</v>
      </c>
      <c r="H32" s="44">
        <f>SUM(H29:H31)</f>
        <v>1259945.22</v>
      </c>
      <c r="I32" s="44">
        <f t="shared" si="14"/>
        <v>5576389.75</v>
      </c>
      <c r="J32" s="44">
        <f t="shared" si="14"/>
        <v>2807087.02</v>
      </c>
      <c r="K32" s="44">
        <f t="shared" si="14"/>
        <v>1181546.8199999998</v>
      </c>
      <c r="L32" s="44">
        <f t="shared" si="14"/>
        <v>0</v>
      </c>
      <c r="M32" s="44">
        <f t="shared" si="14"/>
        <v>1071480.48</v>
      </c>
      <c r="N32" s="44">
        <f t="shared" si="14"/>
        <v>5060114.3199999994</v>
      </c>
    </row>
    <row r="33" spans="1:14" s="4" customFormat="1" x14ac:dyDescent="0.25">
      <c r="A33" s="25">
        <v>30</v>
      </c>
      <c r="B33" s="12" t="s">
        <v>51</v>
      </c>
      <c r="C33" s="27" t="s">
        <v>85</v>
      </c>
      <c r="D33" s="2">
        <v>589807.24</v>
      </c>
      <c r="E33" s="2">
        <f>D33-F33</f>
        <v>589807.24</v>
      </c>
      <c r="F33" s="2">
        <v>0</v>
      </c>
      <c r="G33" s="2">
        <f>E33-H33</f>
        <v>589807.24</v>
      </c>
      <c r="H33" s="2">
        <v>0</v>
      </c>
      <c r="I33" s="2">
        <v>0</v>
      </c>
      <c r="J33" s="2">
        <f>589807.24-M33</f>
        <v>587677.82999999996</v>
      </c>
      <c r="K33" s="2">
        <v>0</v>
      </c>
      <c r="L33" s="2">
        <v>0</v>
      </c>
      <c r="M33" s="2">
        <f>632630.24-565531-42823-22146.83</f>
        <v>2129.4099999999889</v>
      </c>
      <c r="N33" s="2">
        <f t="shared" si="13"/>
        <v>589807.24</v>
      </c>
    </row>
    <row r="34" spans="1:14" s="4" customFormat="1" x14ac:dyDescent="0.25">
      <c r="A34" s="25">
        <v>31</v>
      </c>
      <c r="B34" s="12" t="s">
        <v>52</v>
      </c>
      <c r="C34" s="26" t="s">
        <v>53</v>
      </c>
      <c r="D34" s="2">
        <f>43595009.39+2563.31</f>
        <v>43597572.700000003</v>
      </c>
      <c r="E34" s="2">
        <f>D34-F34</f>
        <v>43595009.390000001</v>
      </c>
      <c r="F34" s="2">
        <v>2563.31</v>
      </c>
      <c r="G34" s="2">
        <f>E34-H34</f>
        <v>38933062.990000002</v>
      </c>
      <c r="H34" s="2">
        <f>4664509.71-F34</f>
        <v>4661946.4000000004</v>
      </c>
      <c r="I34" s="2">
        <f>15389407.53+3863866.9+143705.17</f>
        <v>19396979.600000001</v>
      </c>
      <c r="J34" s="2">
        <f>14836294.91+99515.15</f>
        <v>14935810.060000001</v>
      </c>
      <c r="K34" s="2">
        <f>6278535.17+20672.3</f>
        <v>6299207.4699999997</v>
      </c>
      <c r="L34" s="2">
        <v>0</v>
      </c>
      <c r="M34" s="2">
        <f>3073983.69+1608914.79</f>
        <v>4682898.4800000004</v>
      </c>
      <c r="N34" s="2">
        <f t="shared" si="13"/>
        <v>25917916.010000002</v>
      </c>
    </row>
    <row r="35" spans="1:14" s="4" customFormat="1" x14ac:dyDescent="0.25">
      <c r="A35" s="25">
        <v>32</v>
      </c>
      <c r="B35" s="12" t="s">
        <v>54</v>
      </c>
      <c r="C35" s="26" t="s">
        <v>55</v>
      </c>
      <c r="D35" s="2">
        <v>8961639.7899999991</v>
      </c>
      <c r="E35" s="2">
        <f>D35-F35</f>
        <v>8961639.7899999991</v>
      </c>
      <c r="F35" s="2">
        <v>0</v>
      </c>
      <c r="G35" s="2">
        <f>E35-H35</f>
        <v>6686943.6399999987</v>
      </c>
      <c r="H35" s="2">
        <v>2274696.15</v>
      </c>
      <c r="I35" s="2">
        <v>17357562.98</v>
      </c>
      <c r="J35" s="2">
        <v>1191950.21</v>
      </c>
      <c r="K35" s="2">
        <v>245590.44</v>
      </c>
      <c r="L35" s="2">
        <v>0</v>
      </c>
      <c r="M35" s="2">
        <v>4534247.96</v>
      </c>
      <c r="N35" s="2">
        <f t="shared" si="13"/>
        <v>5971788.6099999994</v>
      </c>
    </row>
    <row r="36" spans="1:14" s="6" customFormat="1" x14ac:dyDescent="0.25">
      <c r="A36" s="42">
        <v>33</v>
      </c>
      <c r="B36" s="43" t="s">
        <v>56</v>
      </c>
      <c r="C36" s="48" t="s">
        <v>57</v>
      </c>
      <c r="D36" s="49">
        <f t="shared" ref="D36:N36" si="15">SUM(D33:D35)</f>
        <v>53149019.730000004</v>
      </c>
      <c r="E36" s="49">
        <f t="shared" si="15"/>
        <v>53146456.420000002</v>
      </c>
      <c r="F36" s="49">
        <f t="shared" si="15"/>
        <v>2563.31</v>
      </c>
      <c r="G36" s="49">
        <f t="shared" si="15"/>
        <v>46209813.870000005</v>
      </c>
      <c r="H36" s="49">
        <f t="shared" si="15"/>
        <v>6936642.5500000007</v>
      </c>
      <c r="I36" s="49">
        <f t="shared" si="15"/>
        <v>36754542.579999998</v>
      </c>
      <c r="J36" s="49">
        <f t="shared" si="15"/>
        <v>16715438.100000001</v>
      </c>
      <c r="K36" s="49">
        <f t="shared" si="15"/>
        <v>6544797.9100000001</v>
      </c>
      <c r="L36" s="49">
        <f t="shared" si="15"/>
        <v>0</v>
      </c>
      <c r="M36" s="49">
        <f t="shared" si="15"/>
        <v>9219275.8500000015</v>
      </c>
      <c r="N36" s="49">
        <f t="shared" si="15"/>
        <v>32479511.859999999</v>
      </c>
    </row>
    <row r="37" spans="1:14" s="5" customFormat="1" ht="30.75" customHeight="1" x14ac:dyDescent="0.25">
      <c r="A37" s="45">
        <v>34</v>
      </c>
      <c r="B37" s="36" t="s">
        <v>58</v>
      </c>
      <c r="C37" s="30" t="s">
        <v>59</v>
      </c>
      <c r="D37" s="37">
        <f>D32+D36</f>
        <v>67076754.570000008</v>
      </c>
      <c r="E37" s="37">
        <f t="shared" ref="E37:N37" si="16">E32+E36</f>
        <v>62635490.07</v>
      </c>
      <c r="F37" s="37">
        <f t="shared" si="16"/>
        <v>4441264.5</v>
      </c>
      <c r="G37" s="37">
        <f t="shared" si="16"/>
        <v>54438902.300000004</v>
      </c>
      <c r="H37" s="37">
        <f t="shared" si="16"/>
        <v>8196587.7700000005</v>
      </c>
      <c r="I37" s="37">
        <f t="shared" si="16"/>
        <v>42330932.329999998</v>
      </c>
      <c r="J37" s="37">
        <f t="shared" si="16"/>
        <v>19522525.120000001</v>
      </c>
      <c r="K37" s="37">
        <f t="shared" si="16"/>
        <v>7726344.7300000004</v>
      </c>
      <c r="L37" s="37">
        <f>L32+L36</f>
        <v>0</v>
      </c>
      <c r="M37" s="37">
        <f t="shared" si="16"/>
        <v>10290756.330000002</v>
      </c>
      <c r="N37" s="37">
        <f t="shared" si="16"/>
        <v>37539626.18</v>
      </c>
    </row>
    <row r="38" spans="1:14" s="4" customFormat="1" x14ac:dyDescent="0.25">
      <c r="A38" s="25">
        <v>35</v>
      </c>
      <c r="B38" s="12" t="s">
        <v>61</v>
      </c>
      <c r="C38" s="27" t="s">
        <v>62</v>
      </c>
      <c r="D38" s="2">
        <v>6598556</v>
      </c>
      <c r="E38" s="2">
        <f t="shared" ref="E38:E42" si="17">D38-F38</f>
        <v>6598556</v>
      </c>
      <c r="F38" s="3">
        <v>0</v>
      </c>
      <c r="G38" s="2">
        <f t="shared" ref="G38:G42" si="18">E38-H38</f>
        <v>5886556</v>
      </c>
      <c r="H38" s="3">
        <v>712000</v>
      </c>
      <c r="I38" s="3">
        <v>0</v>
      </c>
      <c r="J38" s="3"/>
      <c r="K38" s="3">
        <v>2348.79</v>
      </c>
      <c r="L38" s="3">
        <v>0</v>
      </c>
      <c r="M38" s="3">
        <f>1400266.02+92800</f>
        <v>1493066.02</v>
      </c>
      <c r="N38" s="2">
        <f t="shared" ref="N38:N42" si="19">J38+K38+L38+M38</f>
        <v>1495414.81</v>
      </c>
    </row>
    <row r="39" spans="1:14" s="4" customFormat="1" x14ac:dyDescent="0.25">
      <c r="A39" s="25">
        <v>36</v>
      </c>
      <c r="B39" s="12" t="s">
        <v>63</v>
      </c>
      <c r="C39" s="27" t="s">
        <v>86</v>
      </c>
      <c r="D39" s="2">
        <v>199457.43</v>
      </c>
      <c r="E39" s="2">
        <f t="shared" si="17"/>
        <v>199457.43</v>
      </c>
      <c r="F39" s="3">
        <v>0</v>
      </c>
      <c r="G39" s="2">
        <f t="shared" si="18"/>
        <v>199457.43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199457.43</v>
      </c>
      <c r="N39" s="2">
        <f t="shared" si="19"/>
        <v>199457.43</v>
      </c>
    </row>
    <row r="40" spans="1:14" s="4" customFormat="1" x14ac:dyDescent="0.25">
      <c r="A40" s="25">
        <v>37</v>
      </c>
      <c r="B40" s="12" t="s">
        <v>98</v>
      </c>
      <c r="C40" s="27" t="s">
        <v>99</v>
      </c>
      <c r="D40" s="2">
        <v>335036.76</v>
      </c>
      <c r="E40" s="2">
        <f t="shared" si="17"/>
        <v>335036.76</v>
      </c>
      <c r="F40" s="3">
        <v>0</v>
      </c>
      <c r="G40" s="2">
        <v>335036.76</v>
      </c>
      <c r="H40" s="3"/>
      <c r="I40" s="3">
        <v>0</v>
      </c>
      <c r="J40" s="3">
        <v>0</v>
      </c>
      <c r="K40" s="3">
        <v>0</v>
      </c>
      <c r="L40" s="3">
        <v>0</v>
      </c>
      <c r="M40" s="3">
        <v>335036.76</v>
      </c>
      <c r="N40" s="2">
        <f t="shared" si="19"/>
        <v>335036.76</v>
      </c>
    </row>
    <row r="41" spans="1:14" s="4" customFormat="1" x14ac:dyDescent="0.25">
      <c r="A41" s="25">
        <v>38</v>
      </c>
      <c r="B41" s="12" t="s">
        <v>90</v>
      </c>
      <c r="C41" s="27" t="s">
        <v>91</v>
      </c>
      <c r="D41" s="2">
        <v>100209.26</v>
      </c>
      <c r="E41" s="2">
        <f t="shared" si="17"/>
        <v>100209.26</v>
      </c>
      <c r="F41" s="3">
        <v>0</v>
      </c>
      <c r="G41" s="2">
        <f t="shared" si="18"/>
        <v>89554.459999999992</v>
      </c>
      <c r="H41" s="3">
        <v>10654.8</v>
      </c>
      <c r="I41" s="3">
        <v>12414.8</v>
      </c>
      <c r="J41" s="3">
        <v>0</v>
      </c>
      <c r="K41" s="3">
        <v>0</v>
      </c>
      <c r="L41" s="3">
        <v>0</v>
      </c>
      <c r="M41" s="3">
        <v>100209.26</v>
      </c>
      <c r="N41" s="2">
        <f t="shared" si="19"/>
        <v>100209.26</v>
      </c>
    </row>
    <row r="42" spans="1:14" s="4" customFormat="1" x14ac:dyDescent="0.25">
      <c r="A42" s="25">
        <v>39</v>
      </c>
      <c r="B42" s="12" t="s">
        <v>92</v>
      </c>
      <c r="C42" s="27" t="s">
        <v>93</v>
      </c>
      <c r="D42" s="2">
        <v>158997.98000000001</v>
      </c>
      <c r="E42" s="2">
        <f t="shared" si="17"/>
        <v>158997.98000000001</v>
      </c>
      <c r="F42" s="3">
        <v>0</v>
      </c>
      <c r="G42" s="2">
        <f t="shared" si="18"/>
        <v>158997.98000000001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158997.98000000001</v>
      </c>
      <c r="N42" s="2">
        <f t="shared" si="19"/>
        <v>158997.98000000001</v>
      </c>
    </row>
    <row r="43" spans="1:14" s="5" customFormat="1" ht="30.75" customHeight="1" x14ac:dyDescent="0.25">
      <c r="A43" s="45">
        <v>40</v>
      </c>
      <c r="B43" s="36" t="s">
        <v>64</v>
      </c>
      <c r="C43" s="30" t="s">
        <v>65</v>
      </c>
      <c r="D43" s="37">
        <f t="shared" ref="D43:N43" si="20">SUM(D38:D42)</f>
        <v>7392257.4299999997</v>
      </c>
      <c r="E43" s="37">
        <f t="shared" si="20"/>
        <v>7392257.4299999997</v>
      </c>
      <c r="F43" s="37">
        <f t="shared" si="20"/>
        <v>0</v>
      </c>
      <c r="G43" s="37">
        <f t="shared" si="20"/>
        <v>6669602.6299999999</v>
      </c>
      <c r="H43" s="37">
        <f t="shared" si="20"/>
        <v>722654.8</v>
      </c>
      <c r="I43" s="37">
        <f t="shared" si="20"/>
        <v>12414.8</v>
      </c>
      <c r="J43" s="37">
        <f t="shared" si="20"/>
        <v>0</v>
      </c>
      <c r="K43" s="37">
        <f t="shared" si="20"/>
        <v>2348.79</v>
      </c>
      <c r="L43" s="37">
        <f t="shared" si="20"/>
        <v>0</v>
      </c>
      <c r="M43" s="37">
        <f t="shared" si="20"/>
        <v>2286767.4499999997</v>
      </c>
      <c r="N43" s="37">
        <f t="shared" si="20"/>
        <v>2289116.2399999998</v>
      </c>
    </row>
    <row r="44" spans="1:14" s="5" customFormat="1" ht="30.75" customHeight="1" x14ac:dyDescent="0.25">
      <c r="A44" s="45">
        <v>41</v>
      </c>
      <c r="B44" s="36" t="s">
        <v>66</v>
      </c>
      <c r="C44" s="30" t="s">
        <v>67</v>
      </c>
      <c r="D44" s="37">
        <f t="shared" ref="D44:N44" si="21">D9+D28+D37+D11+D43</f>
        <v>116957014.43000001</v>
      </c>
      <c r="E44" s="37">
        <f t="shared" si="21"/>
        <v>111209113.13999999</v>
      </c>
      <c r="F44" s="37">
        <f t="shared" si="21"/>
        <v>5747901.29</v>
      </c>
      <c r="G44" s="37">
        <f t="shared" si="21"/>
        <v>96921342.929999992</v>
      </c>
      <c r="H44" s="37">
        <f t="shared" si="21"/>
        <v>14287770.210000001</v>
      </c>
      <c r="I44" s="37">
        <f t="shared" si="21"/>
        <v>46744452.999999993</v>
      </c>
      <c r="J44" s="37">
        <f t="shared" si="21"/>
        <v>28012915</v>
      </c>
      <c r="K44" s="37">
        <f t="shared" si="21"/>
        <v>9042361.6099999994</v>
      </c>
      <c r="L44" s="37">
        <f t="shared" si="21"/>
        <v>352755.69</v>
      </c>
      <c r="M44" s="37">
        <f t="shared" si="21"/>
        <v>24793749.720000003</v>
      </c>
      <c r="N44" s="37">
        <f t="shared" si="21"/>
        <v>62201782.020000003</v>
      </c>
    </row>
    <row r="45" spans="1:14" s="4" customFormat="1" ht="66" x14ac:dyDescent="0.25">
      <c r="A45" s="25">
        <v>42</v>
      </c>
      <c r="B45" s="12" t="s">
        <v>68</v>
      </c>
      <c r="C45" s="26" t="s">
        <v>69</v>
      </c>
      <c r="D45" s="2">
        <v>8097738.79</v>
      </c>
      <c r="E45" s="2">
        <f>D45-F45</f>
        <v>3682193.79</v>
      </c>
      <c r="F45" s="11">
        <f>4316417+99128</f>
        <v>4415545</v>
      </c>
      <c r="G45" s="2">
        <f>E45-H45</f>
        <v>3459564.55</v>
      </c>
      <c r="H45" s="10">
        <v>222629.24</v>
      </c>
      <c r="I45" s="10">
        <f>1134143.08+2281692.74</f>
        <v>3415835.8200000003</v>
      </c>
      <c r="J45" s="10">
        <v>0</v>
      </c>
      <c r="K45" s="10">
        <v>0</v>
      </c>
      <c r="L45" s="10">
        <v>0</v>
      </c>
      <c r="M45" s="10">
        <f>1953469.52+895378.99</f>
        <v>2848848.51</v>
      </c>
      <c r="N45" s="2">
        <f t="shared" ref="N45:N51" si="22">J45+K45+L45+M45</f>
        <v>2848848.51</v>
      </c>
    </row>
    <row r="46" spans="1:14" s="4" customFormat="1" x14ac:dyDescent="0.25">
      <c r="A46" s="25">
        <v>43</v>
      </c>
      <c r="B46" s="12" t="s">
        <v>70</v>
      </c>
      <c r="C46" s="26" t="s">
        <v>71</v>
      </c>
      <c r="D46" s="2">
        <v>12.62</v>
      </c>
      <c r="E46" s="2">
        <f>D46-F46</f>
        <v>0</v>
      </c>
      <c r="F46" s="3">
        <v>12.62</v>
      </c>
      <c r="G46" s="2">
        <f>E46-H46</f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2">
        <f t="shared" si="22"/>
        <v>0</v>
      </c>
    </row>
    <row r="47" spans="1:14" s="4" customFormat="1" ht="26.4" x14ac:dyDescent="0.25">
      <c r="A47" s="25">
        <v>44</v>
      </c>
      <c r="B47" s="12" t="s">
        <v>72</v>
      </c>
      <c r="C47" s="50" t="s">
        <v>73</v>
      </c>
      <c r="D47" s="2">
        <v>352538.72</v>
      </c>
      <c r="E47" s="2">
        <f>D47-F47</f>
        <v>352538.72</v>
      </c>
      <c r="F47" s="2">
        <v>0</v>
      </c>
      <c r="G47" s="2">
        <f>E47-H47</f>
        <v>542630.22</v>
      </c>
      <c r="H47" s="2">
        <v>-190091.5</v>
      </c>
      <c r="I47" s="11">
        <v>181864.6</v>
      </c>
      <c r="J47" s="11">
        <v>0</v>
      </c>
      <c r="K47" s="11">
        <v>0</v>
      </c>
      <c r="L47" s="11">
        <v>0</v>
      </c>
      <c r="M47" s="11">
        <v>352538.72</v>
      </c>
      <c r="N47" s="2">
        <f t="shared" si="22"/>
        <v>352538.72</v>
      </c>
    </row>
    <row r="48" spans="1:14" s="5" customFormat="1" ht="30.75" customHeight="1" x14ac:dyDescent="0.25">
      <c r="A48" s="45">
        <v>45</v>
      </c>
      <c r="B48" s="36" t="s">
        <v>74</v>
      </c>
      <c r="C48" s="30" t="s">
        <v>75</v>
      </c>
      <c r="D48" s="37">
        <f>SUM(D45:D47)</f>
        <v>8450290.1300000008</v>
      </c>
      <c r="E48" s="37">
        <f t="shared" ref="E48:N48" si="23">SUM(E45:E47)</f>
        <v>4034732.51</v>
      </c>
      <c r="F48" s="37">
        <f t="shared" si="23"/>
        <v>4415557.62</v>
      </c>
      <c r="G48" s="37">
        <f t="shared" si="23"/>
        <v>4002194.7699999996</v>
      </c>
      <c r="H48" s="37">
        <f t="shared" si="23"/>
        <v>32537.739999999991</v>
      </c>
      <c r="I48" s="37">
        <f t="shared" si="23"/>
        <v>3597700.4200000004</v>
      </c>
      <c r="J48" s="37">
        <f t="shared" si="23"/>
        <v>0</v>
      </c>
      <c r="K48" s="37">
        <f t="shared" si="23"/>
        <v>0</v>
      </c>
      <c r="L48" s="37">
        <f t="shared" si="23"/>
        <v>0</v>
      </c>
      <c r="M48" s="37">
        <f t="shared" si="23"/>
        <v>3201387.2299999995</v>
      </c>
      <c r="N48" s="37">
        <f t="shared" si="23"/>
        <v>3201387.2299999995</v>
      </c>
    </row>
    <row r="49" spans="1:14" s="4" customFormat="1" x14ac:dyDescent="0.25">
      <c r="A49" s="25">
        <v>46</v>
      </c>
      <c r="B49" s="12" t="s">
        <v>76</v>
      </c>
      <c r="C49" s="27" t="s">
        <v>89</v>
      </c>
      <c r="D49" s="2">
        <v>43396.14</v>
      </c>
      <c r="E49" s="2">
        <v>0</v>
      </c>
      <c r="F49" s="3">
        <v>43396.14</v>
      </c>
      <c r="G49" s="2">
        <f t="shared" ref="G49" si="24">E49-H49</f>
        <v>0</v>
      </c>
      <c r="H49" s="11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2">
        <f t="shared" si="22"/>
        <v>0</v>
      </c>
    </row>
    <row r="50" spans="1:14" s="4" customFormat="1" x14ac:dyDescent="0.25">
      <c r="A50" s="25">
        <v>47</v>
      </c>
      <c r="B50" s="12" t="s">
        <v>103</v>
      </c>
      <c r="C50" s="27" t="s">
        <v>104</v>
      </c>
      <c r="D50" s="2">
        <v>218074.18</v>
      </c>
      <c r="E50" s="2">
        <v>0</v>
      </c>
      <c r="F50" s="3">
        <v>218074.18</v>
      </c>
      <c r="G50" s="2">
        <f>E50-H50</f>
        <v>0</v>
      </c>
      <c r="H50" s="11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2">
        <f t="shared" ref="N50" si="25">J50+K50+L50+M50</f>
        <v>0</v>
      </c>
    </row>
    <row r="51" spans="1:14" s="4" customFormat="1" x14ac:dyDescent="0.25">
      <c r="A51" s="25">
        <v>48</v>
      </c>
      <c r="B51" s="12" t="s">
        <v>77</v>
      </c>
      <c r="C51" s="27" t="s">
        <v>78</v>
      </c>
      <c r="D51" s="2">
        <v>27517.22</v>
      </c>
      <c r="E51" s="2">
        <f>D51-F51</f>
        <v>27517.22</v>
      </c>
      <c r="F51" s="3">
        <v>0</v>
      </c>
      <c r="G51" s="2">
        <f>E51-H51</f>
        <v>27517.22</v>
      </c>
      <c r="H51" s="11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2">
        <f t="shared" si="22"/>
        <v>0</v>
      </c>
    </row>
    <row r="52" spans="1:14" s="9" customFormat="1" ht="42.75" customHeight="1" x14ac:dyDescent="0.25">
      <c r="A52" s="51">
        <v>49</v>
      </c>
      <c r="B52" s="52" t="s">
        <v>97</v>
      </c>
      <c r="C52" s="53" t="s">
        <v>79</v>
      </c>
      <c r="D52" s="54">
        <f t="shared" ref="D52:N52" si="26">SUM(D49:D51)</f>
        <v>288987.54000000004</v>
      </c>
      <c r="E52" s="54">
        <f t="shared" si="26"/>
        <v>27517.22</v>
      </c>
      <c r="F52" s="54">
        <f t="shared" si="26"/>
        <v>261470.32</v>
      </c>
      <c r="G52" s="54">
        <f t="shared" si="26"/>
        <v>27517.22</v>
      </c>
      <c r="H52" s="54">
        <f t="shared" si="26"/>
        <v>0</v>
      </c>
      <c r="I52" s="54">
        <f t="shared" si="26"/>
        <v>0</v>
      </c>
      <c r="J52" s="54">
        <f t="shared" si="26"/>
        <v>0</v>
      </c>
      <c r="K52" s="54">
        <f t="shared" si="26"/>
        <v>0</v>
      </c>
      <c r="L52" s="54">
        <f t="shared" si="26"/>
        <v>0</v>
      </c>
      <c r="M52" s="54">
        <f t="shared" si="26"/>
        <v>0</v>
      </c>
      <c r="N52" s="54">
        <f t="shared" si="26"/>
        <v>0</v>
      </c>
    </row>
    <row r="53" spans="1:14" s="9" customFormat="1" ht="30.75" customHeight="1" x14ac:dyDescent="0.25">
      <c r="A53" s="51">
        <v>50</v>
      </c>
      <c r="B53" s="52"/>
      <c r="C53" s="55" t="s">
        <v>95</v>
      </c>
      <c r="D53" s="56">
        <f t="shared" ref="D53:N53" si="27">D44+D48+D52</f>
        <v>125696292.10000001</v>
      </c>
      <c r="E53" s="56">
        <f t="shared" si="27"/>
        <v>115271362.86999999</v>
      </c>
      <c r="F53" s="56">
        <f t="shared" si="27"/>
        <v>10424929.23</v>
      </c>
      <c r="G53" s="56">
        <f t="shared" si="27"/>
        <v>100951054.91999999</v>
      </c>
      <c r="H53" s="56">
        <f t="shared" si="27"/>
        <v>14320307.950000001</v>
      </c>
      <c r="I53" s="56">
        <f t="shared" si="27"/>
        <v>50342153.419999994</v>
      </c>
      <c r="J53" s="56">
        <f t="shared" si="27"/>
        <v>28012915</v>
      </c>
      <c r="K53" s="56">
        <f t="shared" si="27"/>
        <v>9042361.6099999994</v>
      </c>
      <c r="L53" s="56">
        <f t="shared" si="27"/>
        <v>352755.69</v>
      </c>
      <c r="M53" s="56">
        <f t="shared" si="27"/>
        <v>27995136.950000003</v>
      </c>
      <c r="N53" s="56">
        <f>N44+N48+N52</f>
        <v>65403169.25</v>
      </c>
    </row>
    <row r="54" spans="1:14" x14ac:dyDescent="0.25">
      <c r="D54" s="8"/>
      <c r="E54" s="8"/>
      <c r="F54" s="8"/>
      <c r="G54" s="59"/>
      <c r="H54" s="59"/>
      <c r="I54" s="8"/>
      <c r="J54" s="8"/>
      <c r="K54" s="8"/>
      <c r="L54" s="8"/>
      <c r="M54" s="8"/>
      <c r="N54" s="8"/>
    </row>
    <row r="55" spans="1:14" x14ac:dyDescent="0.25"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x14ac:dyDescent="0.25"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x14ac:dyDescent="0.25">
      <c r="M57" s="8"/>
    </row>
  </sheetData>
  <sheetProtection selectLockedCells="1"/>
  <customSheetViews>
    <customSheetView guid="{D3A61B8E-B80B-4891-82C2-7853BFCB940C}" scale="80" showPageBreaks="1" showGridLines="0" printArea="1" hiddenColumns="1" view="pageBreakPreview">
      <pane xSplit="10" ySplit="2" topLeftCell="L27" activePane="bottomRight" state="frozen"/>
      <selection pane="bottomRight" activeCell="A38" sqref="A38:X38"/>
      <pageMargins left="0.35433070866141736" right="0.19685039370078741" top="0.59055118110236227" bottom="0.62992125984251968" header="0.35433070866141736" footer="0.35433070866141736"/>
      <pageSetup paperSize="8" scale="54" firstPageNumber="161" orientation="landscape" useFirstPageNumber="1" r:id="rId1"/>
      <headerFooter alignWithMargins="0"/>
    </customSheetView>
    <customSheetView guid="{FF88790F-B3A8-43E0-9E45-6D97494C5053}" scale="80" showPageBreaks="1" showGridLines="0" printArea="1" hiddenColumns="1" topLeftCell="L1">
      <pane ySplit="3" topLeftCell="A4" activePane="bottomLeft" state="frozen"/>
      <selection pane="bottomLeft" activeCell="X14" sqref="X14"/>
      <pageMargins left="0.23622047244094491" right="0.19685039370078741" top="0.27559055118110237" bottom="0.23622047244094491" header="0.39370078740157483" footer="0.39370078740157483"/>
      <pageSetup paperSize="8" scale="85" firstPageNumber="161" orientation="landscape" useFirstPageNumber="1" r:id="rId2"/>
      <headerFooter alignWithMargins="0">
        <oddFooter>&amp;C&amp;12&amp;P</oddFooter>
      </headerFooter>
    </customSheetView>
    <customSheetView guid="{287BB99E-4494-4C80-9BF5-A16ED9F406F9}" scale="70" showPageBreaks="1" showGridLines="0" printArea="1" hiddenColumns="1" view="pageBreakPreview">
      <pane xSplit="3" ySplit="2" topLeftCell="H39" activePane="bottomRight" state="frozen"/>
      <selection pane="bottomRight" activeCell="O62" sqref="O62:P62"/>
      <pageMargins left="0.35433070866141736" right="0.19685039370078741" top="0.59055118110236227" bottom="0.62992125984251968" header="0.35433070866141736" footer="0.35433070866141736"/>
      <pageSetup paperSize="8" scale="80" firstPageNumber="161" orientation="landscape" useFirstPageNumber="1" r:id="rId3"/>
      <headerFooter alignWithMargins="0"/>
    </customSheetView>
    <customSheetView guid="{03445B5C-49D0-440B-BC0D-86CAF9BBA1EB}" showPageBreaks="1" showGridLines="0" printArea="1" hiddenColumns="1">
      <pane xSplit="3" ySplit="2" topLeftCell="K14" activePane="bottomRight" state="frozen"/>
      <selection pane="bottomRight" activeCell="K35" sqref="K35"/>
      <pageMargins left="0.35433070866141736" right="0.19685039370078741" top="0.59055118110236227" bottom="0.62992125984251968" header="0.35433070866141736" footer="0.35433070866141736"/>
      <pageSetup paperSize="8" scale="80" firstPageNumber="161" orientation="landscape" useFirstPageNumber="1" r:id="rId4"/>
      <headerFooter alignWithMargins="0"/>
    </customSheetView>
    <customSheetView guid="{D11D6AA0-EDFE-4E07-8ADC-865141EACEB2}" showPageBreaks="1" showGridLines="0" printArea="1" hiddenColumns="1" topLeftCell="C1">
      <pane ySplit="3" topLeftCell="A61" activePane="bottomLeft" state="frozen"/>
      <selection pane="bottomLeft" activeCell="M73" sqref="M73"/>
      <rowBreaks count="1" manualBreakCount="1">
        <brk id="49" max="24" man="1"/>
      </rowBreaks>
      <colBreaks count="1" manualBreakCount="1">
        <brk id="24" max="60" man="1"/>
      </colBreaks>
      <pageMargins left="0.23622047244094491" right="0.19685039370078741" top="0.27559055118110237" bottom="0.23622047244094491" header="0.39370078740157483" footer="0.39370078740157483"/>
      <pageSetup paperSize="8" scale="80" firstPageNumber="161" orientation="landscape" useFirstPageNumber="1" r:id="rId5"/>
      <headerFooter alignWithMargins="0">
        <oddFooter>&amp;C&amp;12&amp;P</oddFooter>
      </headerFooter>
    </customSheetView>
    <customSheetView guid="{FCC78B18-1C4A-4200-9EB7-014DEC4CEC97}" scale="90" showPageBreaks="1" showGridLines="0" printArea="1" hiddenColumns="1" view="pageBreakPreview">
      <pane ySplit="3" topLeftCell="A55" activePane="bottomLeft" state="frozen"/>
      <selection pane="bottomLeft" activeCell="A65" sqref="A65:XFD65"/>
      <pageMargins left="0.2" right="0.2" top="0.27559055118110237" bottom="0.23622047244094491" header="0.31496062992125984" footer="0.19685039370078741"/>
      <pageSetup paperSize="8" scale="55" firstPageNumber="161" orientation="landscape" useFirstPageNumber="1" r:id="rId6"/>
      <headerFooter alignWithMargins="0">
        <oddFooter>&amp;C&amp;12&amp;P</oddFooter>
      </headerFooter>
    </customSheetView>
    <customSheetView guid="{1285AB19-9522-4B0A-BEC0-749BF7FEE887}" scale="80" showGridLines="0" printArea="1" hiddenColumns="1">
      <pane ySplit="3" topLeftCell="A5" activePane="bottomLeft" state="frozen"/>
      <selection pane="bottomLeft" activeCell="E25" sqref="A25:E25"/>
      <pageMargins left="0.23622047244094491" right="0.19685039370078741" top="0.27559055118110237" bottom="0.23622047244094491" header="0.39370078740157483" footer="0.39370078740157483"/>
      <pageSetup paperSize="8" scale="85" firstPageNumber="161" orientation="landscape" useFirstPageNumber="1" r:id="rId7"/>
      <headerFooter alignWithMargins="0">
        <oddFooter>&amp;C&amp;12&amp;P</oddFooter>
      </headerFooter>
    </customSheetView>
    <customSheetView guid="{B1D981AC-BF34-4C8C-9AD3-B7F961F3C03B}" scale="70" showPageBreaks="1" showGridLines="0" printArea="1" hiddenColumns="1" view="pageBreakPreview">
      <pane xSplit="3" ySplit="2" topLeftCell="D42" activePane="bottomRight" state="frozen"/>
      <selection pane="bottomRight" activeCell="G66" sqref="G66:H66"/>
      <pageMargins left="0.35" right="0.19685039370078741" top="0.61" bottom="0.63" header="0.37" footer="0.34"/>
      <pageSetup paperSize="8" scale="54" firstPageNumber="161" orientation="landscape" useFirstPageNumber="1" r:id="rId8"/>
      <headerFooter alignWithMargins="0"/>
    </customSheetView>
    <customSheetView guid="{39A49891-94B4-414B-A9AD-C01B17B74E79}" showPageBreaks="1" showGridLines="0" printArea="1" hiddenColumns="1" view="pageBreakPreview">
      <pane xSplit="3" ySplit="2" topLeftCell="L3" activePane="bottomRight" state="frozen"/>
      <selection pane="bottomRight" activeCell="O8" sqref="O8"/>
      <pageMargins left="0.35433070866141736" right="0.19685039370078741" top="0.59055118110236227" bottom="0.62992125984251968" header="0.35433070866141736" footer="0.35433070866141736"/>
      <pageSetup paperSize="8" scale="80" firstPageNumber="161" orientation="landscape" useFirstPageNumber="1" r:id="rId9"/>
      <headerFooter alignWithMargins="0"/>
    </customSheetView>
    <customSheetView guid="{1C6BE7DE-D2D0-40FF-A180-01CCB7FF2580}" scale="80" showPageBreaks="1" showGridLines="0" printArea="1" hiddenColumns="1" view="pageBreakPreview">
      <pane xSplit="10" ySplit="2" topLeftCell="L3" activePane="bottomRight" state="frozen"/>
      <selection pane="bottomRight" activeCell="N64" sqref="N64"/>
      <pageMargins left="0.35433070866141736" right="0.19685039370078741" top="0.59055118110236227" bottom="0.62992125984251968" header="0.35433070866141736" footer="0.35433070866141736"/>
      <pageSetup paperSize="8" scale="54" firstPageNumber="161" orientation="landscape" useFirstPageNumber="1" r:id="rId10"/>
      <headerFooter alignWithMargins="0"/>
    </customSheetView>
  </customSheetViews>
  <mergeCells count="2">
    <mergeCell ref="A1:N1"/>
    <mergeCell ref="G54:H54"/>
  </mergeCells>
  <pageMargins left="0.35433070866141736" right="0.19685039370078741" top="0.59055118110236227" bottom="0.62992125984251968" header="0.35433070866141736" footer="0.35433070866141736"/>
  <pageSetup paperSize="8" scale="85" firstPageNumber="161" orientation="landscape" useFirstPageNumber="1" r:id="rId11"/>
  <headerFooter alignWithMargins="0">
    <oddFooter>&amp;C&amp;12&amp;P</oddFooter>
  </headerFooter>
  <rowBreaks count="1" manualBreakCount="1">
    <brk id="44" max="15" man="1"/>
  </rowBreaks>
  <ignoredErrors>
    <ignoredError sqref="B51 B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POTRAŽIVANJA 2021. PULA </vt:lpstr>
      <vt:lpstr>'POTRAŽIVANJA 2021. PULA '!Ispis_naslova</vt:lpstr>
      <vt:lpstr>'POTRAŽIVANJA 2021. PULA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Batelić</dc:creator>
  <cp:lastModifiedBy>Batelić Barbara</cp:lastModifiedBy>
  <cp:lastPrinted>2021-07-23T07:41:38Z</cp:lastPrinted>
  <dcterms:created xsi:type="dcterms:W3CDTF">2015-04-17T07:43:30Z</dcterms:created>
  <dcterms:modified xsi:type="dcterms:W3CDTF">2021-08-27T10:42:48Z</dcterms:modified>
</cp:coreProperties>
</file>